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defaultThemeVersion="124226"/>
  <mc:AlternateContent xmlns:mc="http://schemas.openxmlformats.org/markup-compatibility/2006">
    <mc:Choice Requires="x15">
      <x15ac:absPath xmlns:x15ac="http://schemas.microsoft.com/office/spreadsheetml/2010/11/ac" url="/Users/tajirimasami/Documents/埼玉県卓球関東大会　役員業務/"/>
    </mc:Choice>
  </mc:AlternateContent>
  <xr:revisionPtr revIDLastSave="0" documentId="13_ncr:1_{5DEDECDC-2AFE-2245-A9CD-9A72CEA00733}" xr6:coauthVersionLast="47" xr6:coauthVersionMax="47" xr10:uidLastSave="{00000000-0000-0000-0000-000000000000}"/>
  <bookViews>
    <workbookView xWindow="0" yWindow="760" windowWidth="29400" windowHeight="17200" activeTab="2" xr2:uid="{00000000-000D-0000-FFFF-FFFF00000000}"/>
  </bookViews>
  <sheets>
    <sheet name="説明" sheetId="3" r:id="rId1"/>
    <sheet name="入力用" sheetId="2" r:id="rId2"/>
    <sheet name="印刷用" sheetId="1" r:id="rId3"/>
    <sheet name="サンプル" sheetId="4" r:id="rId4"/>
  </sheets>
  <definedNames>
    <definedName name="_xlnm.Print_Area" localSheetId="3">サンプル!$A$1:$I$40</definedName>
    <definedName name="_xlnm.Print_Area" localSheetId="2">印刷用!$A$1:$I$40</definedName>
    <definedName name="_xlnm.Print_Area" localSheetId="0">説明!$B$1:$H$37</definedName>
    <definedName name="_xlnm.Print_Area" localSheetId="1">入力用!$B$1:$P$35</definedName>
    <definedName name="サンプル">入力用!$I$3:$O$35</definedName>
    <definedName name="入力">入力用!$A$3:$G$35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2" l="1"/>
  <c r="D41" i="2"/>
  <c r="F35" i="4" l="1"/>
  <c r="B40" i="4"/>
  <c r="B39" i="4"/>
  <c r="E38" i="4"/>
  <c r="E37" i="4"/>
  <c r="B37" i="4"/>
  <c r="A1" i="4"/>
  <c r="F35" i="1"/>
  <c r="C3" i="4"/>
  <c r="C3" i="1"/>
  <c r="G12" i="4" l="1"/>
  <c r="G11" i="4"/>
  <c r="N5" i="2" l="1"/>
  <c r="M5" i="2"/>
  <c r="F5" i="2"/>
  <c r="E5" i="2"/>
  <c r="G7" i="4" l="1"/>
  <c r="G7" i="1"/>
  <c r="F29" i="4" l="1"/>
  <c r="F27" i="4"/>
  <c r="F25" i="4"/>
  <c r="F23" i="4"/>
  <c r="F21" i="4"/>
  <c r="F19" i="4"/>
  <c r="F17" i="4"/>
  <c r="F15" i="4"/>
  <c r="H23" i="4"/>
  <c r="H21" i="4"/>
  <c r="H19" i="4"/>
  <c r="H17" i="4"/>
  <c r="H15" i="4"/>
  <c r="D29" i="4"/>
  <c r="D27" i="4"/>
  <c r="D25" i="4"/>
  <c r="D23" i="4"/>
  <c r="D21" i="4"/>
  <c r="D19" i="4"/>
  <c r="D17" i="4"/>
  <c r="D15" i="4"/>
  <c r="F3" i="4"/>
  <c r="H23" i="1"/>
  <c r="H21" i="1"/>
  <c r="H19" i="1"/>
  <c r="H17" i="1"/>
  <c r="H15" i="1"/>
  <c r="F29" i="1"/>
  <c r="F27" i="1"/>
  <c r="F25" i="1"/>
  <c r="F23" i="1"/>
  <c r="F21" i="1"/>
  <c r="F19" i="1"/>
  <c r="F17" i="1"/>
  <c r="F15" i="1"/>
  <c r="D29" i="1"/>
  <c r="D27" i="1"/>
  <c r="D25" i="1"/>
  <c r="D23" i="1"/>
  <c r="D21" i="1"/>
  <c r="D19" i="1"/>
  <c r="D17" i="1"/>
  <c r="D15" i="1"/>
  <c r="F3" i="1"/>
  <c r="A32" i="4" l="1"/>
  <c r="E29" i="4"/>
  <c r="B30" i="4"/>
  <c r="B29" i="4"/>
  <c r="E27" i="4"/>
  <c r="B28" i="4"/>
  <c r="B27" i="4"/>
  <c r="E25" i="4"/>
  <c r="B26" i="4"/>
  <c r="B25" i="4"/>
  <c r="H24" i="4"/>
  <c r="E23" i="4"/>
  <c r="B24" i="4"/>
  <c r="B23" i="4"/>
  <c r="H22" i="4"/>
  <c r="E21" i="4"/>
  <c r="B22" i="4"/>
  <c r="B21" i="4"/>
  <c r="H20" i="4"/>
  <c r="E19" i="4"/>
  <c r="B20" i="4"/>
  <c r="B19" i="4"/>
  <c r="H18" i="4"/>
  <c r="E17" i="4"/>
  <c r="B18" i="4"/>
  <c r="B17" i="4"/>
  <c r="H16" i="4"/>
  <c r="E15" i="4"/>
  <c r="B16" i="4"/>
  <c r="B15" i="4"/>
  <c r="G13" i="4"/>
  <c r="B13" i="4"/>
  <c r="B12" i="4"/>
  <c r="B11" i="4"/>
  <c r="B10" i="4"/>
  <c r="E9" i="4"/>
  <c r="B9" i="4"/>
  <c r="G8" i="4"/>
  <c r="B6" i="4"/>
  <c r="A32" i="1"/>
  <c r="E29" i="1"/>
  <c r="B30" i="1"/>
  <c r="B29" i="1"/>
  <c r="E27" i="1"/>
  <c r="B28" i="1"/>
  <c r="B27" i="1"/>
  <c r="E25" i="1"/>
  <c r="B26" i="1"/>
  <c r="B25" i="1"/>
  <c r="H24" i="1"/>
  <c r="E23" i="1"/>
  <c r="B24" i="1"/>
  <c r="B23" i="1"/>
  <c r="H22" i="1"/>
  <c r="E21" i="1"/>
  <c r="B22" i="1"/>
  <c r="B21" i="1"/>
  <c r="H20" i="1"/>
  <c r="E19" i="1"/>
  <c r="B20" i="1"/>
  <c r="B19" i="1"/>
  <c r="H18" i="1"/>
  <c r="E17" i="1"/>
  <c r="B18" i="1"/>
  <c r="B17" i="1"/>
  <c r="H16" i="1"/>
  <c r="E15" i="1"/>
  <c r="B16" i="1"/>
  <c r="B15" i="1"/>
  <c r="G13" i="1"/>
  <c r="B13" i="1"/>
  <c r="G12" i="1"/>
  <c r="B12" i="1"/>
  <c r="G11" i="1"/>
  <c r="B11" i="1"/>
  <c r="B10" i="1"/>
  <c r="E9" i="1"/>
  <c r="B9" i="1"/>
  <c r="G8" i="1"/>
  <c r="B6" i="1"/>
  <c r="B4" i="4"/>
  <c r="B5" i="4"/>
  <c r="B4" i="1"/>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井上公彦</author>
  </authors>
  <commentList>
    <comment ref="C5" authorId="0" shapeId="0" xr:uid="{00000000-0006-0000-0100-000001000000}">
      <text>
        <r>
          <rPr>
            <b/>
            <sz val="11"/>
            <color rgb="FF000000"/>
            <rFont val="ＭＳ Ｐゴシック"/>
            <family val="2"/>
            <charset val="128"/>
          </rPr>
          <t>○○区立</t>
        </r>
        <r>
          <rPr>
            <b/>
            <sz val="11"/>
            <color rgb="FF000000"/>
            <rFont val="ＭＳ Ｐゴシック"/>
            <family val="2"/>
            <charset val="128"/>
          </rPr>
          <t xml:space="preserve">
</t>
        </r>
        <r>
          <rPr>
            <b/>
            <sz val="11"/>
            <color rgb="FF000000"/>
            <rFont val="ＭＳ Ｐゴシック"/>
            <family val="2"/>
            <charset val="128"/>
          </rPr>
          <t>○○市立</t>
        </r>
        <r>
          <rPr>
            <b/>
            <sz val="11"/>
            <color rgb="FF000000"/>
            <rFont val="ＭＳ Ｐゴシック"/>
            <family val="2"/>
            <charset val="128"/>
          </rPr>
          <t xml:space="preserve">
</t>
        </r>
        <r>
          <rPr>
            <b/>
            <sz val="11"/>
            <color rgb="FF000000"/>
            <rFont val="ＭＳ Ｐゴシック"/>
            <family val="2"/>
            <charset val="128"/>
          </rPr>
          <t>○○町立</t>
        </r>
        <r>
          <rPr>
            <b/>
            <sz val="11"/>
            <color rgb="FF000000"/>
            <rFont val="ＭＳ Ｐゴシック"/>
            <family val="2"/>
            <charset val="128"/>
          </rPr>
          <t xml:space="preserve">
</t>
        </r>
        <r>
          <rPr>
            <b/>
            <sz val="11"/>
            <color rgb="FF000000"/>
            <rFont val="ＭＳ Ｐゴシック"/>
            <family val="2"/>
            <charset val="128"/>
          </rPr>
          <t>○○村立</t>
        </r>
        <r>
          <rPr>
            <b/>
            <sz val="11"/>
            <color rgb="FF000000"/>
            <rFont val="ＭＳ Ｐゴシック"/>
            <family val="2"/>
            <charset val="128"/>
          </rPr>
          <t xml:space="preserve">
</t>
        </r>
        <r>
          <rPr>
            <b/>
            <sz val="11"/>
            <color rgb="FF000000"/>
            <rFont val="ＭＳ Ｐゴシック"/>
            <family val="2"/>
            <charset val="128"/>
          </rPr>
          <t>学校法人</t>
        </r>
        <r>
          <rPr>
            <b/>
            <sz val="11"/>
            <color rgb="FF000000"/>
            <rFont val="ＭＳ Ｐゴシック"/>
            <family val="2"/>
            <charset val="128"/>
          </rPr>
          <t xml:space="preserve">
</t>
        </r>
        <r>
          <rPr>
            <b/>
            <sz val="11"/>
            <color rgb="FF000000"/>
            <rFont val="ＭＳ Ｐゴシック"/>
            <family val="2"/>
            <charset val="128"/>
          </rPr>
          <t>のように入力</t>
        </r>
      </text>
    </comment>
  </commentList>
</comments>
</file>

<file path=xl/sharedStrings.xml><?xml version="1.0" encoding="utf-8"?>
<sst xmlns="http://schemas.openxmlformats.org/spreadsheetml/2006/main" count="259" uniqueCount="167">
  <si>
    <t>E-mailの送付先アドレスは、</t>
  </si>
  <si>
    <t>申込先</t>
  </si>
  <si>
    <t>男女の別</t>
  </si>
  <si>
    <t>都県名</t>
  </si>
  <si>
    <t>監督名</t>
  </si>
  <si>
    <t>監督連絡先（自宅）</t>
  </si>
  <si>
    <t>監督連絡先（携帯）</t>
  </si>
  <si>
    <t>←緊急時に事務局から連絡する場合に必要です。できるだけ入力を！</t>
  </si>
  <si>
    <t>依頼する場合の監督
及びその所属学校名</t>
  </si>
  <si>
    <t>ふりがな</t>
  </si>
  <si>
    <t>学年</t>
  </si>
  <si>
    <t>１</t>
  </si>
  <si>
    <t>２</t>
  </si>
  <si>
    <t>３</t>
  </si>
  <si>
    <t>４</t>
  </si>
  <si>
    <t>５</t>
  </si>
  <si>
    <t>６</t>
  </si>
  <si>
    <t>７</t>
  </si>
  <si>
    <t>８</t>
  </si>
  <si>
    <t>申込日（記入日）</t>
  </si>
  <si>
    <t>備考（個人情報の記載について、同意が得られない場合、その選手名と具体的な内容を記入してください。）</t>
  </si>
  <si>
    <t>個人戦</t>
  </si>
  <si>
    <t>依頼する場合の監督名</t>
  </si>
  <si>
    <t>生年月日</t>
  </si>
  <si>
    <t>【個人戦用手順】</t>
    <rPh sb="1" eb="3">
      <t>コジン</t>
    </rPh>
    <phoneticPr fontId="15"/>
  </si>
  <si>
    <t>女子</t>
  </si>
  <si>
    <t>設立団体名</t>
    <phoneticPr fontId="15"/>
  </si>
  <si>
    <t>学校長（代表者）名</t>
    <rPh sb="4" eb="6">
      <t>ダイヒョウ</t>
    </rPh>
    <rPh sb="6" eb="7">
      <t>シャ</t>
    </rPh>
    <phoneticPr fontId="15"/>
  </si>
  <si>
    <t>郵便番号</t>
    <phoneticPr fontId="15"/>
  </si>
  <si>
    <t>ＦＡＸ</t>
    <phoneticPr fontId="15"/>
  </si>
  <si>
    <t>選　手</t>
    <phoneticPr fontId="15"/>
  </si>
  <si>
    <t>校長（代表者）の承認
を得たアドバイザー１</t>
    <rPh sb="1" eb="2">
      <t>チョウ</t>
    </rPh>
    <rPh sb="3" eb="6">
      <t>ダイヒョウシャ</t>
    </rPh>
    <rPh sb="8" eb="10">
      <t>ショウニン</t>
    </rPh>
    <rPh sb="12" eb="13">
      <t>エ</t>
    </rPh>
    <phoneticPr fontId="15"/>
  </si>
  <si>
    <t>校長（代表者）の承認
を得たアドバイザー２</t>
    <rPh sb="1" eb="2">
      <t>チョウ</t>
    </rPh>
    <rPh sb="3" eb="6">
      <t>ダイヒョウシャ</t>
    </rPh>
    <rPh sb="8" eb="10">
      <t>ショウニン</t>
    </rPh>
    <rPh sb="12" eb="13">
      <t>エ</t>
    </rPh>
    <phoneticPr fontId="15"/>
  </si>
  <si>
    <t>校長（代表者）の承認
を得たアドバイザー３</t>
    <rPh sb="1" eb="2">
      <t>チョウ</t>
    </rPh>
    <rPh sb="3" eb="6">
      <t>ダイヒョウシャ</t>
    </rPh>
    <rPh sb="8" eb="10">
      <t>ショウニン</t>
    </rPh>
    <rPh sb="12" eb="13">
      <t>エ</t>
    </rPh>
    <phoneticPr fontId="15"/>
  </si>
  <si>
    <t>校長（代表者）の承認
を得たアドバイザー４</t>
    <rPh sb="1" eb="2">
      <t>チョウ</t>
    </rPh>
    <rPh sb="3" eb="6">
      <t>ダイヒョウシャ</t>
    </rPh>
    <rPh sb="8" eb="10">
      <t>ショウニン</t>
    </rPh>
    <rPh sb="12" eb="13">
      <t>エ</t>
    </rPh>
    <phoneticPr fontId="15"/>
  </si>
  <si>
    <t>校長（代表者）の承認
を得たアドバイザー５</t>
    <rPh sb="1" eb="2">
      <t>チョウ</t>
    </rPh>
    <rPh sb="3" eb="6">
      <t>ダイヒョウシャ</t>
    </rPh>
    <rPh sb="8" eb="10">
      <t>ショウニン</t>
    </rPh>
    <rPh sb="12" eb="13">
      <t>エ</t>
    </rPh>
    <phoneticPr fontId="15"/>
  </si>
  <si>
    <r>
      <t>この列には</t>
    </r>
    <r>
      <rPr>
        <b/>
        <sz val="12"/>
        <color rgb="FFFF0000"/>
        <rFont val="ＭＳ 明朝"/>
        <family val="1"/>
        <charset val="128"/>
      </rPr>
      <t>ふりがな</t>
    </r>
    <r>
      <rPr>
        <sz val="12"/>
        <rFont val="ＭＳ 明朝"/>
        <family val="1"/>
        <charset val="128"/>
      </rPr>
      <t>を入力します</t>
    </r>
    <phoneticPr fontId="15"/>
  </si>
  <si>
    <t>チーム名</t>
    <phoneticPr fontId="15"/>
  </si>
  <si>
    <t>学校長（代表者）名</t>
    <rPh sb="4" eb="7">
      <t>ダイヒョウシャ</t>
    </rPh>
    <phoneticPr fontId="15"/>
  </si>
  <si>
    <t>郵便番号</t>
    <phoneticPr fontId="15"/>
  </si>
  <si>
    <t>ＦＡＸ</t>
    <phoneticPr fontId="15"/>
  </si>
  <si>
    <t>住　所</t>
    <phoneticPr fontId="15"/>
  </si>
  <si>
    <t>設立団体名</t>
    <rPh sb="2" eb="4">
      <t>ダンタイ</t>
    </rPh>
    <phoneticPr fontId="15"/>
  </si>
  <si>
    <t>校長(代表者)の承認を得た
アドバイザー</t>
    <rPh sb="0" eb="2">
      <t>コウチョウ</t>
    </rPh>
    <rPh sb="3" eb="6">
      <t>ダイヒョウシャ</t>
    </rPh>
    <rPh sb="8" eb="10">
      <t>ショウニン</t>
    </rPh>
    <rPh sb="11" eb="12">
      <t>エ</t>
    </rPh>
    <phoneticPr fontId="15"/>
  </si>
  <si>
    <t>・アドバイザーはどの選手のベンチに入ってもよい。
・アドバイザーは選手の数を超えて登録できない。
・監督・アドバイザー・生徒のうち１名がベンチに入れるが、試合途中で交代できない。</t>
    <rPh sb="17" eb="18">
      <t>ハイ</t>
    </rPh>
    <rPh sb="50" eb="52">
      <t>カントク</t>
    </rPh>
    <rPh sb="60" eb="62">
      <t>セイト</t>
    </rPh>
    <rPh sb="66" eb="67">
      <t>メイ</t>
    </rPh>
    <rPh sb="72" eb="73">
      <t>ハイ</t>
    </rPh>
    <rPh sb="77" eb="79">
      <t>シアイ</t>
    </rPh>
    <rPh sb="79" eb="81">
      <t>トチュウ</t>
    </rPh>
    <rPh sb="82" eb="84">
      <t>コウタイ</t>
    </rPh>
    <phoneticPr fontId="15"/>
  </si>
  <si>
    <t>監　督
連絡先</t>
    <phoneticPr fontId="15"/>
  </si>
  <si>
    <t>都県大会
順　位</t>
    <phoneticPr fontId="15"/>
  </si>
  <si>
    <t>氏　名</t>
    <phoneticPr fontId="15"/>
  </si>
  <si>
    <t>選　手</t>
    <rPh sb="0" eb="1">
      <t>セン</t>
    </rPh>
    <rPh sb="2" eb="3">
      <t>テ</t>
    </rPh>
    <phoneticPr fontId="15"/>
  </si>
  <si>
    <t>左記監督の
所属学校</t>
    <phoneticPr fontId="15"/>
  </si>
  <si>
    <t>　上記の通り申込みいたします。</t>
    <phoneticPr fontId="15"/>
  </si>
  <si>
    <t>申込先</t>
    <phoneticPr fontId="15"/>
  </si>
  <si>
    <t>←ここにはふりがなではなく
所属チームを記入</t>
    <phoneticPr fontId="15"/>
  </si>
  <si>
    <t>←携帯電話をお持ちでない方、普段使わない方はご記入ください。</t>
    <phoneticPr fontId="15"/>
  </si>
  <si>
    <t>です。</t>
    <phoneticPr fontId="15"/>
  </si>
  <si>
    <t>入力用シートに必要事項を入力のうえ、ファイル→名前を付けて保存を実行し、E-mailに添付して</t>
    <phoneticPr fontId="15"/>
  </si>
  <si>
    <t>お送りください。</t>
    <phoneticPr fontId="15"/>
  </si>
  <si>
    <t>※説明シート・入力用シート・サンプルシートを一度プリントアウトしてください。</t>
    <phoneticPr fontId="15"/>
  </si>
  <si>
    <t>※入力用シート・印刷用シート・サンプルシートには、下のタブをクリックすると移動できます。</t>
    <phoneticPr fontId="15"/>
  </si>
  <si>
    <t>※プログラム作成の都合上、関東大会出場が決まりしだい申込書をメールでお送りください。</t>
    <rPh sb="9" eb="11">
      <t>ツゴウ</t>
    </rPh>
    <rPh sb="13" eb="15">
      <t>カントウ</t>
    </rPh>
    <rPh sb="15" eb="17">
      <t>タイカイ</t>
    </rPh>
    <rPh sb="17" eb="19">
      <t>シュツジョウ</t>
    </rPh>
    <rPh sb="20" eb="21">
      <t>キ</t>
    </rPh>
    <rPh sb="26" eb="29">
      <t>モウシコミショ</t>
    </rPh>
    <rPh sb="35" eb="36">
      <t>オク</t>
    </rPh>
    <phoneticPr fontId="15"/>
  </si>
  <si>
    <t>※8月1日の代表者会議の資料となります。メール送信が7月30日を過ぎる場合には連絡してください。</t>
    <rPh sb="2" eb="3">
      <t>ガツ</t>
    </rPh>
    <rPh sb="4" eb="5">
      <t>ヒ</t>
    </rPh>
    <rPh sb="6" eb="9">
      <t>ダイヒョウシャ</t>
    </rPh>
    <rPh sb="9" eb="11">
      <t>カイギ</t>
    </rPh>
    <rPh sb="23" eb="25">
      <t>ソウシン</t>
    </rPh>
    <rPh sb="27" eb="28">
      <t>ガツ</t>
    </rPh>
    <rPh sb="30" eb="31">
      <t>ヒ</t>
    </rPh>
    <rPh sb="32" eb="33">
      <t>ス</t>
    </rPh>
    <rPh sb="35" eb="37">
      <t>バアイ</t>
    </rPh>
    <rPh sb="39" eb="41">
      <t>レンラク</t>
    </rPh>
    <phoneticPr fontId="15"/>
  </si>
  <si>
    <t>※都県大会が遅い場合は、大会終了当日にメールが送信できるよう事前に準備をお願いします。</t>
    <rPh sb="12" eb="14">
      <t>タイカイ</t>
    </rPh>
    <rPh sb="14" eb="16">
      <t>シュウリョウ</t>
    </rPh>
    <rPh sb="16" eb="18">
      <t>トウジツ</t>
    </rPh>
    <rPh sb="23" eb="25">
      <t>ソウシン</t>
    </rPh>
    <rPh sb="30" eb="32">
      <t>ジゼン</t>
    </rPh>
    <rPh sb="33" eb="35">
      <t>ジュンビ</t>
    </rPh>
    <rPh sb="37" eb="38">
      <t>ネガ</t>
    </rPh>
    <phoneticPr fontId="15"/>
  </si>
  <si>
    <t xml:space="preserve">  ください。</t>
    <phoneticPr fontId="15"/>
  </si>
  <si>
    <t>　者の情報を全国大会事務局へ送付すること以外には利用いたしません。</t>
    <phoneticPr fontId="15"/>
  </si>
  <si>
    <t>ＴＥＬ</t>
    <phoneticPr fontId="15"/>
  </si>
  <si>
    <t>関東大会参加申込用ファイルをメールで送信した後、印刷用シート（参加申込書）を印刷し職印（印）</t>
    <rPh sb="31" eb="33">
      <t>サンカ</t>
    </rPh>
    <rPh sb="33" eb="36">
      <t>モウシコミショ</t>
    </rPh>
    <rPh sb="44" eb="45">
      <t>イン</t>
    </rPh>
    <phoneticPr fontId="15"/>
  </si>
  <si>
    <t>を押したものを、下記申込先まで郵送してください。</t>
    <phoneticPr fontId="15"/>
  </si>
  <si>
    <t>職印(印)</t>
    <rPh sb="3" eb="4">
      <t>イン</t>
    </rPh>
    <phoneticPr fontId="15"/>
  </si>
  <si>
    <t>学校・チーム連絡先</t>
    <rPh sb="0" eb="2">
      <t>ガッコウ</t>
    </rPh>
    <rPh sb="6" eb="9">
      <t>レンラクサキ</t>
    </rPh>
    <phoneticPr fontId="15"/>
  </si>
  <si>
    <t>学校・チーム名</t>
    <rPh sb="0" eb="2">
      <t>ガッコウ</t>
    </rPh>
    <phoneticPr fontId="15"/>
  </si>
  <si>
    <t>この申込用ファイルは、第51回関東中学校卓球大会ウェブサイトからダウンロードできます。</t>
    <rPh sb="11" eb="12">
      <t>ダイ</t>
    </rPh>
    <rPh sb="14" eb="15">
      <t>カイ</t>
    </rPh>
    <rPh sb="15" eb="17">
      <t>カントウ</t>
    </rPh>
    <rPh sb="17" eb="20">
      <t>チュウガッコウ</t>
    </rPh>
    <rPh sb="20" eb="22">
      <t>タッキュウ</t>
    </rPh>
    <rPh sb="22" eb="24">
      <t>タイカイ</t>
    </rPh>
    <phoneticPr fontId="15"/>
  </si>
  <si>
    <t>ウェブサイトのURLは</t>
  </si>
  <si>
    <t>※送られた情報は、関東大会の運営・広報（報道機関・ウェブサイト）並びに全国中学校卓球大会出場</t>
    <rPh sb="42" eb="44">
      <t>タイカイ</t>
    </rPh>
    <rPh sb="44" eb="46">
      <t>シュツジョウ</t>
    </rPh>
    <phoneticPr fontId="15"/>
  </si>
  <si>
    <t>※送られたデータ（監督、アドバイザー、選手氏名）を、そのままプログラム等のデータとして利用し</t>
    <phoneticPr fontId="15"/>
  </si>
  <si>
    <t>　ます。間違いのないように入力してください。</t>
    <phoneticPr fontId="15"/>
  </si>
  <si>
    <t>ふりがな（名字と名前の間を１マスあけてください。）</t>
    <phoneticPr fontId="15"/>
  </si>
  <si>
    <r>
      <t>名前の右のセルに</t>
    </r>
    <r>
      <rPr>
        <b/>
        <sz val="14"/>
        <color rgb="FFFF0000"/>
        <rFont val="ＭＳ 明朝"/>
        <family val="1"/>
        <charset val="128"/>
      </rPr>
      <t>ふりがな</t>
    </r>
    <r>
      <rPr>
        <sz val="14"/>
        <rFont val="ＭＳ 明朝"/>
        <family val="1"/>
        <charset val="128"/>
      </rPr>
      <t>を入力してください。
詳しくは右側の入力例を参考に入力をしてください。</t>
    </r>
    <phoneticPr fontId="15"/>
  </si>
  <si>
    <t>氏　名（入力例を参考に入力してください。）</t>
    <rPh sb="4" eb="7">
      <t>ニュウリョクレイ</t>
    </rPh>
    <rPh sb="8" eb="10">
      <t>サンコウ</t>
    </rPh>
    <rPh sb="11" eb="13">
      <t>ニュウリョク</t>
    </rPh>
    <phoneticPr fontId="15"/>
  </si>
  <si>
    <t>生年月日
H○.△.□</t>
    <phoneticPr fontId="15"/>
  </si>
  <si>
    <t>０９０－＊＊＊＊－＊＊＊＊</t>
    <phoneticPr fontId="15"/>
  </si>
  <si>
    <t>個人戦入力例</t>
    <rPh sb="0" eb="3">
      <t>コジンセン</t>
    </rPh>
    <phoneticPr fontId="15"/>
  </si>
  <si>
    <t>　上記の者は、本大会への参加について保護者の同意を得ています。また、本大会プログラムの作成及び成績上位者の報道発表並びにウェブサイトにおける氏名、学校名、学年等の個人情報の記載について、本人及び保護者の同意を得ています。</t>
    <phoneticPr fontId="15"/>
  </si>
  <si>
    <t>※関東大会への出場が決定したら、すぐに次の手順で申し込みをして</t>
    <phoneticPr fontId="15"/>
  </si>
  <si>
    <t>※監督の連絡先は、緊急時の連絡のみに使わせていただきます。</t>
    <rPh sb="11" eb="12">
      <t>ジ</t>
    </rPh>
    <phoneticPr fontId="15"/>
  </si>
  <si>
    <t>住　所①
（郡・市区町村）</t>
    <rPh sb="9" eb="10">
      <t>ク</t>
    </rPh>
    <phoneticPr fontId="15"/>
  </si>
  <si>
    <t>住　所②
（上記以降）</t>
    <phoneticPr fontId="15"/>
  </si>
  <si>
    <t>住　所①
（郡・市区町村）</t>
    <rPh sb="9" eb="10">
      <t>ク</t>
    </rPh>
    <rPh sb="10" eb="12">
      <t>チョウソン</t>
    </rPh>
    <phoneticPr fontId="15"/>
  </si>
  <si>
    <r>
      <rPr>
        <b/>
        <u/>
        <sz val="14"/>
        <rFont val="ＭＳ 明朝"/>
        <family val="1"/>
        <charset val="128"/>
      </rPr>
      <t>郵送</t>
    </r>
    <r>
      <rPr>
        <sz val="11"/>
        <rFont val="ＭＳ 明朝"/>
        <family val="1"/>
        <charset val="128"/>
      </rPr>
      <t>してください。</t>
    </r>
    <phoneticPr fontId="15"/>
  </si>
  <si>
    <r>
      <t>関東大会参加申込用ファイルを</t>
    </r>
    <r>
      <rPr>
        <b/>
        <u/>
        <sz val="14"/>
        <rFont val="ＭＳ 明朝"/>
        <family val="1"/>
        <charset val="128"/>
      </rPr>
      <t>メールで送信</t>
    </r>
    <r>
      <rPr>
        <sz val="11"/>
        <rFont val="ＭＳ 明朝"/>
        <family val="1"/>
        <charset val="128"/>
      </rPr>
      <t>した後、</t>
    </r>
    <r>
      <rPr>
        <b/>
        <u/>
        <sz val="14"/>
        <rFont val="ＭＳ 明朝"/>
        <family val="1"/>
        <charset val="128"/>
      </rPr>
      <t>職印（印）を押した申込書を必ず</t>
    </r>
    <rPh sb="0" eb="2">
      <t>カントウ</t>
    </rPh>
    <rPh sb="2" eb="4">
      <t>タイカイ</t>
    </rPh>
    <rPh sb="8" eb="9">
      <t>ヨウ</t>
    </rPh>
    <rPh sb="27" eb="28">
      <t>イン</t>
    </rPh>
    <rPh sb="33" eb="36">
      <t>モウシコミショ</t>
    </rPh>
    <phoneticPr fontId="15"/>
  </si>
  <si>
    <t>学校長名
(代表者名)</t>
    <rPh sb="6" eb="8">
      <t>ダイヒョウ</t>
    </rPh>
    <rPh sb="8" eb="9">
      <t>シャ</t>
    </rPh>
    <rPh sb="9" eb="10">
      <t>メイ</t>
    </rPh>
    <phoneticPr fontId="15"/>
  </si>
  <si>
    <t>　備　考：（個人情報の掲載について、同意が得られない場合、その選手名と具体的な内容を記入
　　　　　　してください。）
　　　例）○○　○○：報道機関・ウェブサイトへの個人名・写真の掲載に同意できない。</t>
    <rPh sb="11" eb="13">
      <t>ケイサイ</t>
    </rPh>
    <rPh sb="42" eb="44">
      <t>キニュウ</t>
    </rPh>
    <phoneticPr fontId="15"/>
  </si>
  <si>
    <t>ふりがな（名字と名前の間を１マスあけてください。）</t>
  </si>
  <si>
    <t>男子・女子</t>
    <phoneticPr fontId="15"/>
  </si>
  <si>
    <t>https://saichutaku.info/kanto53/</t>
    <phoneticPr fontId="15"/>
  </si>
  <si>
    <t>saitama.tt.kentai.ck@gmail.com</t>
    <phoneticPr fontId="15"/>
  </si>
  <si>
    <t>※入力用シートには、右側に記入例がありますので、参考にして入力してください（学年は1,2,3）。</t>
    <rPh sb="38" eb="40">
      <t>ガクネン</t>
    </rPh>
    <phoneticPr fontId="15"/>
  </si>
  <si>
    <t>深谷市立岡部中学校　　田尻　雅美　宛</t>
    <rPh sb="0" eb="4">
      <t xml:space="preserve">フカヤシリツ </t>
    </rPh>
    <rPh sb="4" eb="6">
      <t xml:space="preserve">オカベ </t>
    </rPh>
    <rPh sb="11" eb="13">
      <t xml:space="preserve">タジリ </t>
    </rPh>
    <rPh sb="14" eb="16">
      <t xml:space="preserve">マサミ </t>
    </rPh>
    <phoneticPr fontId="15"/>
  </si>
  <si>
    <t>TEL ０４８－５８５－２６２３　　FAX ０４８－５８５－６０５５</t>
    <phoneticPr fontId="15"/>
  </si>
  <si>
    <r>
      <t>E-mail</t>
    </r>
    <r>
      <rPr>
        <sz val="16"/>
        <rFont val="ＭＳ 明朝"/>
        <family val="1"/>
        <charset val="128"/>
      </rPr>
      <t>：</t>
    </r>
    <r>
      <rPr>
        <sz val="16"/>
        <rFont val="Century"/>
        <family val="1"/>
      </rPr>
      <t>saitama.tt.kentai.ck@gmail.com</t>
    </r>
    <phoneticPr fontId="15"/>
  </si>
  <si>
    <t>埼玉県深谷市山河１２１４　　</t>
    <phoneticPr fontId="15"/>
  </si>
  <si>
    <t>深谷市立岡部中学校　　田尻　雅美　宛</t>
    <phoneticPr fontId="15"/>
  </si>
  <si>
    <r>
      <t>E-mail</t>
    </r>
    <r>
      <rPr>
        <sz val="16"/>
        <rFont val="MS Mincho"/>
        <family val="1"/>
        <charset val="134"/>
      </rPr>
      <t>：</t>
    </r>
    <r>
      <rPr>
        <sz val="16"/>
        <rFont val="Century"/>
        <family val="1"/>
      </rPr>
      <t>saitama.tt.kentai.ck@gmail.com</t>
    </r>
    <phoneticPr fontId="15"/>
  </si>
  <si>
    <t>令和７年度埼玉大会</t>
    <rPh sb="5" eb="7">
      <t xml:space="preserve">サイタマ </t>
    </rPh>
    <phoneticPr fontId="15"/>
  </si>
  <si>
    <t>令和７年度埼玉大会</t>
    <rPh sb="4" eb="5">
      <t>ド</t>
    </rPh>
    <rPh sb="5" eb="7">
      <t>ヤマナシ</t>
    </rPh>
    <phoneticPr fontId="15"/>
  </si>
  <si>
    <t>埼玉県</t>
  </si>
  <si>
    <t>さいたま市立</t>
    <phoneticPr fontId="14"/>
  </si>
  <si>
    <t>さいたましりつ</t>
    <phoneticPr fontId="15"/>
  </si>
  <si>
    <t>さいたま関東中学校</t>
    <rPh sb="0" eb="2">
      <t>サイタマ</t>
    </rPh>
    <rPh sb="4" eb="6">
      <t xml:space="preserve">カントウ </t>
    </rPh>
    <rPh sb="6" eb="9">
      <t xml:space="preserve">チュウガッコウ </t>
    </rPh>
    <phoneticPr fontId="14"/>
  </si>
  <si>
    <t>さいたまかんとうちゅうがっこう</t>
    <phoneticPr fontId="15"/>
  </si>
  <si>
    <t>埼玉　一郎</t>
    <rPh sb="0" eb="1">
      <t xml:space="preserve">サイタマ </t>
    </rPh>
    <rPh sb="3" eb="5">
      <t xml:space="preserve">イチロウ </t>
    </rPh>
    <phoneticPr fontId="15"/>
  </si>
  <si>
    <t>さいたま　いちろう</t>
    <phoneticPr fontId="15"/>
  </si>
  <si>
    <t>３３０－００００</t>
    <phoneticPr fontId="15"/>
  </si>
  <si>
    <t>さいたま市浦和区</t>
    <rPh sb="5" eb="8">
      <t xml:space="preserve">ウラワク </t>
    </rPh>
    <phoneticPr fontId="14"/>
  </si>
  <si>
    <t>さいたましうらわく</t>
    <phoneticPr fontId="15"/>
  </si>
  <si>
    <t>針谷０００−０</t>
    <rPh sb="0" eb="2">
      <t xml:space="preserve">ハリガヤ </t>
    </rPh>
    <phoneticPr fontId="15"/>
  </si>
  <si>
    <t>はりがや</t>
    <phoneticPr fontId="15"/>
  </si>
  <si>
    <t>０４８－８３１－＊＊＊＊</t>
    <phoneticPr fontId="15"/>
  </si>
  <si>
    <t>〒３６９－０２１７　　埼玉県深谷市山河１２１４</t>
    <rPh sb="11" eb="14">
      <t xml:space="preserve">サイタマケン </t>
    </rPh>
    <rPh sb="14" eb="17">
      <t xml:space="preserve">フカヤシ </t>
    </rPh>
    <rPh sb="17" eb="18">
      <t xml:space="preserve">ヤマガ </t>
    </rPh>
    <rPh sb="18" eb="19">
      <t>🏞️</t>
    </rPh>
    <phoneticPr fontId="15"/>
  </si>
  <si>
    <t>〒３６９－０２１７</t>
    <phoneticPr fontId="15"/>
  </si>
  <si>
    <t>大宮　美園</t>
    <rPh sb="0" eb="1">
      <t xml:space="preserve">オオミヤ </t>
    </rPh>
    <rPh sb="3" eb="5">
      <t xml:space="preserve">ミソノ </t>
    </rPh>
    <phoneticPr fontId="14"/>
  </si>
  <si>
    <t>おおみや　みその</t>
    <phoneticPr fontId="15"/>
  </si>
  <si>
    <t>川口　一郎</t>
    <rPh sb="0" eb="2">
      <t xml:space="preserve">カワグチ </t>
    </rPh>
    <rPh sb="3" eb="5">
      <t xml:space="preserve">イチロウ </t>
    </rPh>
    <phoneticPr fontId="15"/>
  </si>
  <si>
    <t>さいたま第一中学校</t>
    <rPh sb="4" eb="6">
      <t>ダイイチ</t>
    </rPh>
    <rPh sb="6" eb="9">
      <t>チュウガッコウ</t>
    </rPh>
    <phoneticPr fontId="15"/>
  </si>
  <si>
    <t>鴻巣　綾子</t>
    <rPh sb="0" eb="2">
      <t xml:space="preserve">コウノス </t>
    </rPh>
    <rPh sb="3" eb="5">
      <t xml:space="preserve">アヤコ </t>
    </rPh>
    <phoneticPr fontId="15"/>
  </si>
  <si>
    <t>こうのす　あやこ</t>
    <phoneticPr fontId="15"/>
  </si>
  <si>
    <t>上尾　佳純</t>
    <rPh sb="0" eb="2">
      <t xml:space="preserve">アゲオ </t>
    </rPh>
    <rPh sb="3" eb="5">
      <t xml:space="preserve">カスミ </t>
    </rPh>
    <phoneticPr fontId="15"/>
  </si>
  <si>
    <t>草加　沙也加</t>
    <rPh sb="0" eb="2">
      <t xml:space="preserve">ソウカ </t>
    </rPh>
    <rPh sb="3" eb="6">
      <t xml:space="preserve">サヤカ </t>
    </rPh>
    <phoneticPr fontId="15"/>
  </si>
  <si>
    <t>あげお　かすみ</t>
    <phoneticPr fontId="15"/>
  </si>
  <si>
    <t>そうか　さやか</t>
    <phoneticPr fontId="15"/>
  </si>
  <si>
    <t>戸田　環</t>
    <rPh sb="0" eb="2">
      <t xml:space="preserve">トダ </t>
    </rPh>
    <phoneticPr fontId="15"/>
  </si>
  <si>
    <t>とだ　たまき</t>
    <phoneticPr fontId="15"/>
  </si>
  <si>
    <t>川越　那々子</t>
    <rPh sb="0" eb="1">
      <t xml:space="preserve">カワゴエ </t>
    </rPh>
    <rPh sb="3" eb="4">
      <t xml:space="preserve">ナナコ </t>
    </rPh>
    <phoneticPr fontId="15"/>
  </si>
  <si>
    <t>かわごえ　ななこ</t>
    <phoneticPr fontId="15"/>
  </si>
  <si>
    <t>狭山　葉月</t>
    <rPh sb="0" eb="2">
      <t xml:space="preserve">サヤマ </t>
    </rPh>
    <rPh sb="3" eb="5">
      <t xml:space="preserve">ハヅキ </t>
    </rPh>
    <phoneticPr fontId="15"/>
  </si>
  <si>
    <t>さやま　はづき</t>
    <phoneticPr fontId="15"/>
  </si>
  <si>
    <t>本庄　真里</t>
    <rPh sb="0" eb="2">
      <t xml:space="preserve">ホンジョウ </t>
    </rPh>
    <rPh sb="3" eb="5">
      <t>マリカ</t>
    </rPh>
    <phoneticPr fontId="15"/>
  </si>
  <si>
    <t>ほんじょう　まり</t>
    <phoneticPr fontId="15"/>
  </si>
  <si>
    <t>白岡　康子</t>
    <rPh sb="0" eb="2">
      <t xml:space="preserve">シラオカ </t>
    </rPh>
    <rPh sb="3" eb="5">
      <t xml:space="preserve">ヤスコ </t>
    </rPh>
    <phoneticPr fontId="15"/>
  </si>
  <si>
    <t>しらおか　やすこ</t>
    <phoneticPr fontId="15"/>
  </si>
  <si>
    <t>第５３回　関東中学校卓球大会　個人戦　参加申込書（入力用・E-mail用シート）</t>
    <rPh sb="15" eb="18">
      <t>コジンセン</t>
    </rPh>
    <phoneticPr fontId="15"/>
  </si>
  <si>
    <t>第５３回 関東中学校卓球大会参加申込書</t>
    <phoneticPr fontId="15"/>
  </si>
  <si>
    <t>ファイル名は「第５３回関東中学卓球個人申込書（△△都県○○中男子）」のようにつけてください。</t>
    <rPh sb="7" eb="8">
      <t>ダイ</t>
    </rPh>
    <rPh sb="10" eb="11">
      <t>カイ</t>
    </rPh>
    <rPh sb="17" eb="19">
      <t>コジン</t>
    </rPh>
    <rPh sb="21" eb="22">
      <t>ショ</t>
    </rPh>
    <rPh sb="25" eb="26">
      <t>ト</t>
    </rPh>
    <rPh sb="26" eb="27">
      <t>ケン</t>
    </rPh>
    <phoneticPr fontId="15"/>
  </si>
  <si>
    <t>白岡　康子：報道機関への個人名の掲載に同意できない。</t>
    <rPh sb="0" eb="1">
      <t>フエ</t>
    </rPh>
    <rPh sb="1" eb="2">
      <t>フ</t>
    </rPh>
    <rPh sb="3" eb="5">
      <t>サキ</t>
    </rPh>
    <rPh sb="6" eb="8">
      <t>ホウドウ</t>
    </rPh>
    <rPh sb="8" eb="10">
      <t>キカン</t>
    </rPh>
    <rPh sb="12" eb="15">
      <t>コジンメイ</t>
    </rPh>
    <rPh sb="16" eb="18">
      <t>ケイサイ</t>
    </rPh>
    <rPh sb="19" eb="21">
      <t>ドウイ</t>
    </rPh>
    <phoneticPr fontId="14"/>
  </si>
  <si>
    <t>和光　春樹</t>
    <rPh sb="0" eb="2">
      <t xml:space="preserve">ワコウ </t>
    </rPh>
    <rPh sb="3" eb="5">
      <t xml:space="preserve">ハルキ </t>
    </rPh>
    <phoneticPr fontId="15"/>
  </si>
  <si>
    <t>わこう　はるき　</t>
    <phoneticPr fontId="15"/>
  </si>
  <si>
    <t>越谷　亜矢夏</t>
    <rPh sb="0" eb="2">
      <t xml:space="preserve">コシガヤ </t>
    </rPh>
    <rPh sb="3" eb="5">
      <t xml:space="preserve">アヤ </t>
    </rPh>
    <rPh sb="5" eb="6">
      <t xml:space="preserve">アヤカ </t>
    </rPh>
    <phoneticPr fontId="15"/>
  </si>
  <si>
    <t>かわぐち　あやか</t>
    <phoneticPr fontId="15"/>
  </si>
  <si>
    <t>蓮田　冬弥</t>
    <rPh sb="0" eb="2">
      <t xml:space="preserve">ハスダ </t>
    </rPh>
    <rPh sb="3" eb="4">
      <t>トウヤ</t>
    </rPh>
    <rPh sb="4" eb="5">
      <t>ヤヒコ</t>
    </rPh>
    <phoneticPr fontId="15"/>
  </si>
  <si>
    <t>はすだ　とうや</t>
    <phoneticPr fontId="15"/>
  </si>
  <si>
    <t>三芳　秋帆</t>
    <rPh sb="0" eb="2">
      <t xml:space="preserve">ミヨシ </t>
    </rPh>
    <rPh sb="3" eb="5">
      <t xml:space="preserve">アキホ </t>
    </rPh>
    <phoneticPr fontId="15"/>
  </si>
  <si>
    <t>みよし　あきほ</t>
    <phoneticPr fontId="15"/>
  </si>
  <si>
    <t>団体・個人</t>
    <rPh sb="0" eb="2">
      <t xml:space="preserve">ダンタイ </t>
    </rPh>
    <rPh sb="3" eb="5">
      <t xml:space="preserve">コジン </t>
    </rPh>
    <phoneticPr fontId="15"/>
  </si>
  <si>
    <t>性別</t>
    <rPh sb="0" eb="2">
      <t xml:space="preserve">セイベツ </t>
    </rPh>
    <phoneticPr fontId="15"/>
  </si>
  <si>
    <t>都道府県No.</t>
    <rPh sb="0" eb="4">
      <t xml:space="preserve">トドウフケン </t>
    </rPh>
    <phoneticPr fontId="15"/>
  </si>
  <si>
    <t>データ抽出用行</t>
    <rPh sb="3" eb="5">
      <t xml:space="preserve">チュウシュツ </t>
    </rPh>
    <rPh sb="5" eb="6">
      <t xml:space="preserve">ヨウ </t>
    </rPh>
    <rPh sb="6" eb="7">
      <t xml:space="preserve">ギョウ </t>
    </rPh>
    <phoneticPr fontId="15"/>
  </si>
  <si>
    <t>都道府県リスト（JIS参考）</t>
    <rPh sb="0" eb="4">
      <t xml:space="preserve">トドウフケン </t>
    </rPh>
    <rPh sb="11" eb="13">
      <t xml:space="preserve">サンコウ </t>
    </rPh>
    <phoneticPr fontId="15"/>
  </si>
  <si>
    <t>神奈川県</t>
    <rPh sb="0" eb="3">
      <t xml:space="preserve">カナガワ </t>
    </rPh>
    <rPh sb="3" eb="4">
      <t xml:space="preserve">ケン </t>
    </rPh>
    <phoneticPr fontId="1"/>
  </si>
  <si>
    <t>茨城県</t>
    <rPh sb="0" eb="2">
      <t xml:space="preserve">イバラキ </t>
    </rPh>
    <rPh sb="2" eb="3">
      <t xml:space="preserve">ケン </t>
    </rPh>
    <phoneticPr fontId="1"/>
  </si>
  <si>
    <t>東京都</t>
    <rPh sb="0" eb="3">
      <t xml:space="preserve">トウキョウト </t>
    </rPh>
    <phoneticPr fontId="1"/>
  </si>
  <si>
    <t>栃木県</t>
    <rPh sb="0" eb="2">
      <t xml:space="preserve">トチギ </t>
    </rPh>
    <rPh sb="2" eb="3">
      <t xml:space="preserve">ケン </t>
    </rPh>
    <phoneticPr fontId="1"/>
  </si>
  <si>
    <t>千葉県</t>
    <rPh sb="0" eb="2">
      <t xml:space="preserve">チバ </t>
    </rPh>
    <rPh sb="2" eb="3">
      <t xml:space="preserve">ケン </t>
    </rPh>
    <phoneticPr fontId="1"/>
  </si>
  <si>
    <t>山梨県</t>
    <rPh sb="0" eb="2">
      <t xml:space="preserve">ヤマナシ </t>
    </rPh>
    <rPh sb="2" eb="3">
      <t xml:space="preserve">ケン </t>
    </rPh>
    <phoneticPr fontId="1"/>
  </si>
  <si>
    <t>群馬県</t>
    <rPh sb="0" eb="2">
      <t xml:space="preserve">グンマ </t>
    </rPh>
    <rPh sb="2" eb="3">
      <t xml:space="preserve">ケン </t>
    </rPh>
    <phoneticPr fontId="1"/>
  </si>
  <si>
    <t>埼玉県</t>
    <rPh sb="0" eb="2">
      <t xml:space="preserve">サイタマ </t>
    </rPh>
    <rPh sb="2" eb="3">
      <t xml:space="preserve">ケン </t>
    </rPh>
    <phoneticPr fontId="1"/>
  </si>
  <si>
    <t>都県</t>
    <rPh sb="0" eb="2">
      <t xml:space="preserve">トドウフケン </t>
    </rPh>
    <phoneticPr fontId="15"/>
  </si>
  <si>
    <t>男子</t>
    <rPh sb="0" eb="2">
      <t xml:space="preserve">ダンシ </t>
    </rPh>
    <phoneticPr fontId="15"/>
  </si>
  <si>
    <t>女子</t>
    <rPh sb="0" eb="2">
      <t xml:space="preserve">ジョシ </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</si>
</sst>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2">
    <font>
      <sz val="11"/>
      <name val="ＭＳ Ｐゴシック"/>
      <charset val="128"/>
    </font>
    <font>
      <sz val="11"/>
      <name val="ＭＳ 明朝"/>
      <family val="1"/>
      <charset val="128"/>
    </font>
    <font>
      <sz val="22"/>
      <name val="ＭＳ 明朝"/>
      <family val="1"/>
      <charset val="128"/>
    </font>
    <font>
      <sz val="16"/>
      <name val="ＭＳ 明朝"/>
      <family val="1"/>
      <charset val="128"/>
    </font>
    <font>
      <sz val="12"/>
      <name val="ＭＳ 明朝"/>
      <family val="1"/>
      <charset val="128"/>
    </font>
    <font>
      <sz val="14"/>
      <name val="ＭＳ 明朝"/>
      <family val="1"/>
      <charset val="128"/>
    </font>
    <font>
      <sz val="8"/>
      <name val="ＭＳ 明朝"/>
      <family val="1"/>
      <charset val="128"/>
    </font>
    <font>
      <sz val="9"/>
      <name val="ＭＳ 明朝"/>
      <family val="1"/>
      <charset val="128"/>
    </font>
    <font>
      <sz val="10"/>
      <name val="ＭＳ 明朝"/>
      <family val="1"/>
      <charset val="128"/>
    </font>
    <font>
      <sz val="11"/>
      <color rgb="FFFF0000"/>
      <name val="ＭＳ 明朝"/>
      <family val="1"/>
      <charset val="128"/>
    </font>
    <font>
      <b/>
      <sz val="10"/>
      <color indexed="12"/>
      <name val="ＭＳ 明朝"/>
      <family val="1"/>
      <charset val="128"/>
    </font>
    <font>
      <sz val="24"/>
      <name val="ＭＳ 明朝"/>
      <family val="1"/>
      <charset val="128"/>
    </font>
    <font>
      <sz val="11"/>
      <color indexed="45"/>
      <name val="ＭＳ 明朝"/>
      <family val="1"/>
      <charset val="128"/>
    </font>
    <font>
      <u/>
      <sz val="11"/>
      <color indexed="12"/>
      <name val="ＭＳ Ｐゴシック"/>
      <family val="3"/>
      <charset val="128"/>
    </font>
    <font>
      <b/>
      <sz val="9"/>
      <name val="ＭＳ 明朝"/>
      <family val="1"/>
      <charset val="128"/>
    </font>
    <font>
      <sz val="6"/>
      <name val="ＭＳ Ｐゴシック"/>
      <family val="3"/>
      <charset val="128"/>
    </font>
    <font>
      <b/>
      <sz val="12"/>
      <color rgb="FFFF0000"/>
      <name val="ＭＳ 明朝"/>
      <family val="1"/>
      <charset val="128"/>
    </font>
    <font>
      <b/>
      <sz val="14"/>
      <name val="ＭＳ 明朝"/>
      <family val="1"/>
      <charset val="128"/>
    </font>
    <font>
      <sz val="12"/>
      <color rgb="FFFF0000"/>
      <name val="ＭＳ 明朝"/>
      <family val="1"/>
      <charset val="128"/>
    </font>
    <font>
      <sz val="16"/>
      <name val="Century"/>
      <family val="1"/>
    </font>
    <font>
      <b/>
      <u/>
      <sz val="14"/>
      <name val="ＭＳ 明朝"/>
      <family val="1"/>
      <charset val="128"/>
    </font>
    <font>
      <b/>
      <sz val="16"/>
      <color rgb="FFFF0000"/>
      <name val="ＭＳ ゴシック"/>
      <family val="3"/>
      <charset val="128"/>
    </font>
    <font>
      <b/>
      <sz val="11"/>
      <color rgb="FFFF0000"/>
      <name val="ＭＳ 明朝"/>
      <family val="1"/>
      <charset val="128"/>
    </font>
    <font>
      <sz val="11"/>
      <color rgb="FFFFCCFF"/>
      <name val="ＭＳ 明朝"/>
      <family val="1"/>
      <charset val="128"/>
    </font>
    <font>
      <b/>
      <sz val="14"/>
      <color rgb="FFFF0000"/>
      <name val="ＭＳ 明朝"/>
      <family val="1"/>
      <charset val="128"/>
    </font>
    <font>
      <b/>
      <sz val="11"/>
      <color rgb="FF000000"/>
      <name val="ＭＳ Ｐゴシック"/>
      <family val="2"/>
      <charset val="128"/>
    </font>
    <font>
      <sz val="16"/>
      <name val="MS Mincho"/>
      <family val="1"/>
      <charset val="134"/>
    </font>
    <font>
      <u/>
      <sz val="18"/>
      <color indexed="12"/>
      <name val="ＭＳ Ｐゴシック"/>
      <family val="3"/>
      <charset val="128"/>
    </font>
    <font>
      <sz val="18"/>
      <color indexed="12"/>
      <name val="Century"/>
      <family val="1"/>
    </font>
    <font>
      <u/>
      <sz val="20"/>
      <color indexed="12"/>
      <name val="ＭＳ Ｐゴシック"/>
      <family val="3"/>
      <charset val="128"/>
    </font>
    <font>
      <sz val="20"/>
      <color indexed="12"/>
      <name val="Century"/>
      <family val="1"/>
    </font>
    <font>
      <sz val="6"/>
      <name val="ＭＳ 明朝"/>
      <family val="1"/>
      <charset val="128"/>
    </font>
  </fonts>
  <fills count="7">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rgb="FFFFFF00"/>
        <bgColor indexed="64"/>
      </patternFill>
    </fill>
    <fill>
      <patternFill patternType="solid">
        <fgColor rgb="FFFFCCFF"/>
        <bgColor indexed="64"/>
      </patternFill>
    </fill>
    <fill>
      <patternFill patternType="solid">
        <fgColor rgb="FFFF0000"/>
        <bgColor indexed="64"/>
      </patternFill>
    </fill>
  </fills>
  <borders count="5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dotted">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medium">
        <color auto="1"/>
      </right>
      <top style="thin">
        <color auto="1"/>
      </top>
      <bottom style="dotted">
        <color auto="1"/>
      </bottom>
      <diagonal/>
    </border>
    <border>
      <left/>
      <right style="medium">
        <color auto="1"/>
      </right>
      <top style="dotted">
        <color auto="1"/>
      </top>
      <bottom style="thin">
        <color auto="1"/>
      </bottom>
      <diagonal/>
    </border>
    <border>
      <left style="thin">
        <color auto="1"/>
      </left>
      <right/>
      <top/>
      <bottom style="dotted">
        <color auto="1"/>
      </bottom>
      <diagonal/>
    </border>
    <border>
      <left/>
      <right style="medium">
        <color auto="1"/>
      </right>
      <top/>
      <bottom style="dotted">
        <color auto="1"/>
      </bottom>
      <diagonal/>
    </border>
    <border>
      <left style="thin">
        <color indexed="64"/>
      </left>
      <right style="thin">
        <color auto="1"/>
      </right>
      <top style="thin">
        <color auto="1"/>
      </top>
      <bottom style="dotted">
        <color auto="1"/>
      </bottom>
      <diagonal/>
    </border>
    <border>
      <left style="thin">
        <color indexed="64"/>
      </left>
      <right style="thin">
        <color auto="1"/>
      </right>
      <top style="dotted">
        <color auto="1"/>
      </top>
      <bottom style="thin">
        <color auto="1"/>
      </bottom>
      <diagonal/>
    </border>
    <border>
      <left/>
      <right style="medium">
        <color auto="1"/>
      </right>
      <top style="medium">
        <color auto="1"/>
      </top>
      <bottom style="medium">
        <color auto="1"/>
      </bottom>
      <diagonal/>
    </border>
  </borders>
  <cellStyleXfs count="2">
    <xf numFmtId="0" fontId="0" fillId="0" borderId="0"/>
    <xf numFmtId="0" fontId="13" fillId="0" borderId="0" applyNumberFormat="0" applyFill="0" applyBorder="0" applyAlignment="0" applyProtection="0">
      <alignment vertical="top"/>
      <protection locked="0"/>
    </xf>
  </cellStyleXfs>
  <cellXfs count="194">
    <xf numFmtId="0" fontId="0" fillId="0" borderId="0" xfId="0"/>
    <xf numFmtId="0" fontId="1" fillId="0" borderId="0" xfId="0" applyFont="1" applyAlignment="1">
      <alignment vertical="center"/>
    </xf>
    <xf numFmtId="0" fontId="1" fillId="0" borderId="1" xfId="0" applyFont="1" applyBorder="1" applyAlignment="1">
      <alignment horizontal="center" vertical="center"/>
    </xf>
    <xf numFmtId="0" fontId="4" fillId="0" borderId="0" xfId="0" applyFont="1" applyAlignment="1">
      <alignment horizontal="right" vertical="center"/>
    </xf>
    <xf numFmtId="0" fontId="6" fillId="0" borderId="3" xfId="0" applyFont="1" applyBorder="1" applyAlignment="1">
      <alignment horizontal="center" vertical="center"/>
    </xf>
    <xf numFmtId="0" fontId="1" fillId="0" borderId="7" xfId="0" applyFont="1" applyBorder="1" applyAlignment="1">
      <alignment horizontal="center" vertical="center"/>
    </xf>
    <xf numFmtId="0" fontId="6" fillId="0" borderId="30"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176" fontId="1" fillId="0" borderId="0" xfId="0" applyNumberFormat="1" applyFont="1" applyAlignment="1">
      <alignment horizontal="distributed" vertical="center"/>
    </xf>
    <xf numFmtId="0" fontId="1" fillId="2" borderId="0" xfId="0" applyFont="1" applyFill="1" applyAlignment="1">
      <alignment vertical="center"/>
    </xf>
    <xf numFmtId="0" fontId="1" fillId="0" borderId="25" xfId="0" applyFont="1" applyBorder="1" applyAlignment="1" applyProtection="1">
      <alignment vertical="center" shrinkToFit="1"/>
      <protection locked="0"/>
    </xf>
    <xf numFmtId="0" fontId="1" fillId="0" borderId="25" xfId="0" applyFont="1" applyBorder="1" applyAlignment="1" applyProtection="1">
      <alignment horizontal="center" vertical="center" shrinkToFit="1"/>
      <protection locked="0"/>
    </xf>
    <xf numFmtId="177" fontId="1" fillId="0" borderId="25" xfId="0" applyNumberFormat="1" applyFont="1" applyBorder="1" applyAlignment="1" applyProtection="1">
      <alignment horizontal="center" vertical="center" shrinkToFit="1"/>
      <protection locked="0"/>
    </xf>
    <xf numFmtId="176" fontId="1" fillId="0" borderId="25" xfId="0" applyNumberFormat="1" applyFont="1" applyBorder="1" applyAlignment="1" applyProtection="1">
      <alignment horizontal="left" vertical="center" shrinkToFit="1"/>
      <protection locked="0"/>
    </xf>
    <xf numFmtId="0" fontId="1" fillId="3" borderId="25" xfId="0" applyFont="1" applyFill="1" applyBorder="1" applyAlignment="1">
      <alignment vertical="center"/>
    </xf>
    <xf numFmtId="0" fontId="7" fillId="2" borderId="25" xfId="0" applyFont="1" applyFill="1" applyBorder="1" applyAlignment="1">
      <alignment horizontal="center" vertical="center" wrapText="1"/>
    </xf>
    <xf numFmtId="0" fontId="12" fillId="2" borderId="0" xfId="0" applyFont="1" applyFill="1" applyAlignment="1">
      <alignment vertical="center"/>
    </xf>
    <xf numFmtId="0" fontId="1" fillId="3" borderId="38" xfId="0" applyFont="1" applyFill="1" applyBorder="1" applyAlignment="1">
      <alignment vertical="center"/>
    </xf>
    <xf numFmtId="0" fontId="1" fillId="2" borderId="25" xfId="0" applyFont="1" applyFill="1" applyBorder="1" applyAlignment="1">
      <alignment horizontal="center" vertical="center"/>
    </xf>
    <xf numFmtId="0" fontId="1" fillId="2" borderId="25" xfId="0" applyFont="1" applyFill="1" applyBorder="1" applyAlignment="1">
      <alignment vertical="center"/>
    </xf>
    <xf numFmtId="0" fontId="1" fillId="2" borderId="25" xfId="0" applyFont="1" applyFill="1" applyBorder="1" applyAlignment="1">
      <alignment horizontal="center" vertical="center" wrapText="1"/>
    </xf>
    <xf numFmtId="0" fontId="1" fillId="3" borderId="25" xfId="0" applyFont="1" applyFill="1" applyBorder="1" applyAlignment="1">
      <alignment horizontal="center" vertical="center"/>
    </xf>
    <xf numFmtId="177" fontId="1" fillId="3" borderId="25" xfId="0" applyNumberFormat="1" applyFont="1" applyFill="1" applyBorder="1" applyAlignment="1" applyProtection="1">
      <alignment horizontal="center" vertical="center"/>
      <protection locked="0"/>
    </xf>
    <xf numFmtId="0" fontId="1" fillId="3" borderId="25" xfId="0" applyFont="1" applyFill="1" applyBorder="1" applyAlignment="1" applyProtection="1">
      <alignment horizontal="center" vertical="center"/>
      <protection locked="0"/>
    </xf>
    <xf numFmtId="0" fontId="1" fillId="2" borderId="25" xfId="0" applyFont="1" applyFill="1" applyBorder="1" applyAlignment="1">
      <alignment vertical="center" wrapText="1"/>
    </xf>
    <xf numFmtId="176" fontId="1" fillId="3" borderId="25" xfId="0" applyNumberFormat="1" applyFont="1" applyFill="1" applyBorder="1" applyAlignment="1">
      <alignment horizontal="left" vertical="center"/>
    </xf>
    <xf numFmtId="0" fontId="1" fillId="0" borderId="0" xfId="0" applyFont="1"/>
    <xf numFmtId="0" fontId="1" fillId="0" borderId="0" xfId="0" applyFont="1" applyProtection="1">
      <protection locked="0"/>
    </xf>
    <xf numFmtId="0" fontId="3" fillId="0" borderId="0" xfId="0" applyFont="1"/>
    <xf numFmtId="0" fontId="13" fillId="0" borderId="0" xfId="1" applyAlignment="1" applyProtection="1"/>
    <xf numFmtId="0" fontId="1" fillId="0" borderId="25" xfId="0" applyFont="1" applyBorder="1"/>
    <xf numFmtId="0" fontId="1" fillId="0" borderId="44" xfId="0" applyFont="1" applyBorder="1"/>
    <xf numFmtId="0" fontId="1" fillId="0" borderId="5" xfId="0" applyFont="1" applyBorder="1"/>
    <xf numFmtId="0" fontId="1" fillId="0" borderId="6" xfId="0" applyFont="1" applyBorder="1"/>
    <xf numFmtId="0" fontId="1" fillId="0" borderId="45" xfId="0" applyFont="1" applyBorder="1"/>
    <xf numFmtId="0" fontId="1" fillId="0" borderId="39" xfId="0" applyFont="1" applyBorder="1"/>
    <xf numFmtId="0" fontId="1" fillId="0" borderId="46" xfId="0" applyFont="1" applyBorder="1"/>
    <xf numFmtId="0" fontId="1" fillId="0" borderId="47" xfId="0" applyFont="1" applyBorder="1"/>
    <xf numFmtId="0" fontId="1" fillId="0" borderId="48" xfId="0" applyFont="1" applyBorder="1"/>
    <xf numFmtId="0" fontId="1" fillId="2" borderId="25" xfId="0" quotePrefix="1" applyFont="1" applyFill="1" applyBorder="1" applyAlignment="1">
      <alignment horizontal="center" vertical="center"/>
    </xf>
    <xf numFmtId="0" fontId="1" fillId="0" borderId="25" xfId="0" applyFont="1" applyBorder="1" applyAlignment="1" applyProtection="1">
      <alignment vertical="center" wrapText="1"/>
      <protection locked="0"/>
    </xf>
    <xf numFmtId="0" fontId="1" fillId="0" borderId="20" xfId="0" applyFont="1" applyBorder="1" applyAlignment="1">
      <alignment vertical="center"/>
    </xf>
    <xf numFmtId="0" fontId="1" fillId="0" borderId="24" xfId="0" applyFont="1" applyBorder="1" applyAlignment="1">
      <alignment vertical="center"/>
    </xf>
    <xf numFmtId="0" fontId="8" fillId="2" borderId="25" xfId="0" applyFont="1" applyFill="1" applyBorder="1" applyAlignment="1">
      <alignment horizontal="center" vertical="center" wrapText="1"/>
    </xf>
    <xf numFmtId="0" fontId="1" fillId="3" borderId="25" xfId="0" applyFont="1" applyFill="1" applyBorder="1" applyAlignment="1">
      <alignment vertical="center" wrapText="1"/>
    </xf>
    <xf numFmtId="0" fontId="2" fillId="0" borderId="0" xfId="0" applyFont="1" applyAlignment="1">
      <alignment horizontal="center" vertical="center"/>
    </xf>
    <xf numFmtId="0" fontId="5" fillId="0" borderId="46" xfId="0" applyFont="1" applyBorder="1" applyAlignment="1">
      <alignment vertical="center"/>
    </xf>
    <xf numFmtId="0" fontId="7" fillId="0" borderId="23" xfId="0" applyFont="1" applyBorder="1" applyAlignment="1">
      <alignment horizontal="center" vertical="center" wrapText="1"/>
    </xf>
    <xf numFmtId="0" fontId="7" fillId="0" borderId="21" xfId="0" applyFont="1" applyBorder="1" applyAlignment="1">
      <alignment horizontal="center" vertical="center" wrapText="1"/>
    </xf>
    <xf numFmtId="0" fontId="4" fillId="0" borderId="0" xfId="0" applyFont="1" applyAlignment="1">
      <alignment vertical="center"/>
    </xf>
    <xf numFmtId="0" fontId="1" fillId="0" borderId="12" xfId="0" applyFont="1" applyBorder="1" applyAlignment="1">
      <alignment horizontal="center" vertical="center"/>
    </xf>
    <xf numFmtId="0" fontId="6" fillId="0" borderId="56" xfId="0" applyFont="1" applyBorder="1" applyAlignment="1">
      <alignment horizontal="center" vertical="center"/>
    </xf>
    <xf numFmtId="0" fontId="1" fillId="0" borderId="57"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shrinkToFit="1"/>
    </xf>
    <xf numFmtId="0" fontId="4" fillId="0" borderId="13" xfId="0" applyFont="1" applyBorder="1" applyAlignment="1">
      <alignment vertical="center"/>
    </xf>
    <xf numFmtId="0" fontId="18" fillId="0" borderId="13" xfId="0" applyFont="1" applyBorder="1" applyAlignment="1">
      <alignment vertical="center"/>
    </xf>
    <xf numFmtId="0" fontId="9" fillId="0" borderId="13" xfId="0" applyFont="1" applyBorder="1" applyAlignment="1">
      <alignment vertical="center"/>
    </xf>
    <xf numFmtId="0" fontId="1" fillId="0" borderId="14" xfId="0" applyFont="1" applyBorder="1" applyAlignment="1">
      <alignment vertical="center"/>
    </xf>
    <xf numFmtId="0" fontId="1" fillId="0" borderId="19" xfId="0" applyFont="1" applyBorder="1" applyAlignment="1">
      <alignment vertical="center"/>
    </xf>
    <xf numFmtId="0" fontId="1" fillId="0" borderId="8" xfId="0" applyFont="1" applyBorder="1" applyAlignment="1">
      <alignment vertical="center"/>
    </xf>
    <xf numFmtId="0" fontId="19" fillId="0" borderId="9" xfId="0" applyFont="1" applyBorder="1" applyAlignment="1">
      <alignment vertical="center"/>
    </xf>
    <xf numFmtId="0" fontId="1" fillId="0" borderId="9" xfId="0" applyFont="1" applyBorder="1" applyAlignment="1">
      <alignment vertical="center"/>
    </xf>
    <xf numFmtId="0" fontId="1" fillId="2" borderId="25" xfId="0" applyFont="1" applyFill="1" applyBorder="1" applyAlignment="1">
      <alignment horizontal="center" vertical="center" wrapText="1" shrinkToFit="1"/>
    </xf>
    <xf numFmtId="0" fontId="6" fillId="3" borderId="25" xfId="0" applyFont="1" applyFill="1" applyBorder="1" applyAlignment="1">
      <alignment vertical="center" shrinkToFit="1"/>
    </xf>
    <xf numFmtId="0" fontId="4" fillId="0" borderId="5" xfId="0" applyFont="1" applyBorder="1"/>
    <xf numFmtId="0" fontId="19" fillId="0" borderId="0" xfId="0" applyFont="1" applyAlignment="1">
      <alignment vertical="center"/>
    </xf>
    <xf numFmtId="0" fontId="21" fillId="0" borderId="0" xfId="0" applyFont="1"/>
    <xf numFmtId="0" fontId="22" fillId="0" borderId="0" xfId="0" applyFont="1"/>
    <xf numFmtId="0" fontId="1" fillId="5" borderId="0" xfId="0" applyFont="1" applyFill="1" applyAlignment="1">
      <alignment vertical="center"/>
    </xf>
    <xf numFmtId="0" fontId="1" fillId="5" borderId="25" xfId="0" applyFont="1" applyFill="1" applyBorder="1" applyAlignment="1">
      <alignment horizontal="center" vertical="center"/>
    </xf>
    <xf numFmtId="0" fontId="1" fillId="5" borderId="25" xfId="0" applyFont="1" applyFill="1" applyBorder="1" applyAlignment="1">
      <alignment horizontal="center" vertical="center" wrapText="1"/>
    </xf>
    <xf numFmtId="0" fontId="1" fillId="5" borderId="25" xfId="0" quotePrefix="1" applyFont="1" applyFill="1" applyBorder="1" applyAlignment="1">
      <alignment horizontal="center" vertical="center"/>
    </xf>
    <xf numFmtId="0" fontId="8" fillId="5" borderId="25" xfId="0" applyFont="1" applyFill="1" applyBorder="1" applyAlignment="1">
      <alignment horizontal="center" vertical="center" wrapText="1"/>
    </xf>
    <xf numFmtId="0" fontId="1" fillId="5" borderId="0" xfId="0" applyFont="1" applyFill="1" applyAlignment="1">
      <alignment horizontal="center" vertical="center"/>
    </xf>
    <xf numFmtId="0" fontId="1" fillId="5" borderId="0" xfId="0" applyFont="1" applyFill="1" applyAlignment="1" applyProtection="1">
      <alignment horizontal="center" vertical="center"/>
      <protection locked="0"/>
    </xf>
    <xf numFmtId="0" fontId="1" fillId="5" borderId="25" xfId="0" applyFont="1" applyFill="1" applyBorder="1" applyAlignment="1">
      <alignment vertical="center" wrapText="1"/>
    </xf>
    <xf numFmtId="0" fontId="23" fillId="5" borderId="0" xfId="0" applyFont="1" applyFill="1" applyAlignment="1">
      <alignment vertical="center"/>
    </xf>
    <xf numFmtId="0" fontId="4" fillId="4" borderId="25" xfId="0" applyFont="1" applyFill="1" applyBorder="1" applyAlignment="1">
      <alignment horizontal="center" vertical="center" shrinkToFit="1"/>
    </xf>
    <xf numFmtId="0" fontId="1" fillId="3" borderId="25" xfId="0" applyFont="1" applyFill="1" applyBorder="1" applyAlignment="1">
      <alignment vertical="center" shrinkToFit="1"/>
    </xf>
    <xf numFmtId="0" fontId="17" fillId="5" borderId="0" xfId="0" applyFont="1" applyFill="1" applyAlignment="1">
      <alignment vertical="center"/>
    </xf>
    <xf numFmtId="0" fontId="7" fillId="0" borderId="1" xfId="0" applyFont="1" applyBorder="1" applyAlignment="1">
      <alignment horizontal="center" vertical="center" shrinkToFit="1"/>
    </xf>
    <xf numFmtId="0" fontId="17" fillId="0" borderId="58" xfId="0" applyFont="1" applyBorder="1" applyAlignment="1">
      <alignment horizontal="center" vertical="center"/>
    </xf>
    <xf numFmtId="0" fontId="1" fillId="0" borderId="25" xfId="0" applyFont="1" applyBorder="1" applyAlignment="1">
      <alignment vertical="center"/>
    </xf>
    <xf numFmtId="0" fontId="31" fillId="0" borderId="0" xfId="0" applyFont="1" applyAlignment="1">
      <alignment vertical="center"/>
    </xf>
    <xf numFmtId="0" fontId="1" fillId="6" borderId="0" xfId="0" applyFont="1" applyFill="1" applyAlignment="1">
      <alignment vertical="center"/>
    </xf>
    <xf numFmtId="0" fontId="29" fillId="0" borderId="0" xfId="1" applyFont="1" applyAlignment="1" applyProtection="1">
      <alignment horizontal="center" shrinkToFit="1"/>
    </xf>
    <xf numFmtId="0" fontId="30" fillId="0" borderId="0" xfId="1" applyFont="1" applyAlignment="1" applyProtection="1">
      <alignment horizontal="center" shrinkToFit="1"/>
    </xf>
    <xf numFmtId="0" fontId="1" fillId="0" borderId="0" xfId="0" applyFont="1" applyAlignment="1">
      <alignment wrapText="1"/>
    </xf>
    <xf numFmtId="0" fontId="27" fillId="0" borderId="0" xfId="1" applyFont="1" applyAlignment="1" applyProtection="1">
      <alignment horizontal="center" vertical="center" shrinkToFit="1"/>
    </xf>
    <xf numFmtId="0" fontId="28" fillId="0" borderId="0" xfId="1" applyFont="1" applyAlignment="1" applyProtection="1">
      <alignment horizontal="center" vertical="center" shrinkToFit="1"/>
    </xf>
    <xf numFmtId="0" fontId="5" fillId="2" borderId="0" xfId="0" applyFont="1" applyFill="1" applyAlignment="1">
      <alignment vertical="center" wrapText="1"/>
    </xf>
    <xf numFmtId="0" fontId="11" fillId="2" borderId="0" xfId="0" applyFont="1" applyFill="1" applyAlignment="1">
      <alignment vertical="center" wrapText="1"/>
    </xf>
    <xf numFmtId="0" fontId="10" fillId="5" borderId="8" xfId="0" applyFont="1" applyFill="1" applyBorder="1" applyAlignment="1">
      <alignment vertical="center" wrapText="1"/>
    </xf>
    <xf numFmtId="0" fontId="10" fillId="5" borderId="9" xfId="0" applyFont="1" applyFill="1" applyBorder="1" applyAlignment="1">
      <alignment vertical="center"/>
    </xf>
    <xf numFmtId="0" fontId="10" fillId="5" borderId="19" xfId="0" applyFont="1" applyFill="1" applyBorder="1" applyAlignment="1">
      <alignment horizontal="left" vertical="center"/>
    </xf>
    <xf numFmtId="0" fontId="10" fillId="5" borderId="0" xfId="0" applyFont="1" applyFill="1" applyAlignment="1">
      <alignment horizontal="left" vertical="center"/>
    </xf>
    <xf numFmtId="0" fontId="1" fillId="0" borderId="15" xfId="0" applyFont="1" applyBorder="1" applyAlignment="1" applyProtection="1">
      <alignment vertical="center" shrinkToFit="1"/>
      <protection locked="0"/>
    </xf>
    <xf numFmtId="0" fontId="1" fillId="0" borderId="37" xfId="0" applyFont="1" applyBorder="1" applyAlignment="1" applyProtection="1">
      <alignment vertical="center" shrinkToFit="1"/>
      <protection locked="0"/>
    </xf>
    <xf numFmtId="0" fontId="1" fillId="3" borderId="15" xfId="0" applyFont="1" applyFill="1" applyBorder="1" applyAlignment="1">
      <alignment vertical="center" shrinkToFit="1"/>
    </xf>
    <xf numFmtId="0" fontId="1" fillId="3" borderId="37" xfId="0" applyFont="1" applyFill="1" applyBorder="1" applyAlignment="1">
      <alignment vertical="center" shrinkToFit="1"/>
    </xf>
    <xf numFmtId="0" fontId="8" fillId="5" borderId="25" xfId="0" applyFont="1" applyFill="1" applyBorder="1" applyAlignment="1">
      <alignment vertical="center" wrapText="1"/>
    </xf>
    <xf numFmtId="0" fontId="8" fillId="2" borderId="25" xfId="0" applyFont="1" applyFill="1" applyBorder="1" applyAlignment="1">
      <alignment vertical="center" wrapText="1"/>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7" fillId="0" borderId="28" xfId="0" applyFont="1" applyBorder="1" applyAlignment="1">
      <alignment horizontal="center" vertical="center" shrinkToFit="1"/>
    </xf>
    <xf numFmtId="0" fontId="7" fillId="0" borderId="32" xfId="0" applyFont="1" applyBorder="1" applyAlignment="1">
      <alignment horizontal="center" vertical="center" shrinkToFit="1"/>
    </xf>
    <xf numFmtId="0" fontId="1" fillId="0" borderId="8" xfId="0" applyFont="1" applyBorder="1" applyAlignment="1">
      <alignment horizontal="center" vertical="center"/>
    </xf>
    <xf numFmtId="0" fontId="1" fillId="0" borderId="24" xfId="0" applyFont="1" applyBorder="1" applyAlignment="1">
      <alignment horizontal="center" vertical="center"/>
    </xf>
    <xf numFmtId="0" fontId="7" fillId="0" borderId="12" xfId="0" applyFont="1" applyBorder="1" applyAlignment="1">
      <alignment horizontal="center" vertical="center" shrinkToFit="1"/>
    </xf>
    <xf numFmtId="0" fontId="7" fillId="0" borderId="14" xfId="0" applyFont="1" applyBorder="1" applyAlignment="1">
      <alignment horizontal="center" vertical="center" shrinkToFit="1"/>
    </xf>
    <xf numFmtId="0" fontId="1" fillId="0" borderId="15" xfId="0" applyFont="1" applyBorder="1" applyAlignment="1">
      <alignment horizontal="center" vertical="center"/>
    </xf>
    <xf numFmtId="0" fontId="1" fillId="0" borderId="37" xfId="0" applyFont="1" applyBorder="1" applyAlignment="1">
      <alignment horizontal="center" vertical="center"/>
    </xf>
    <xf numFmtId="0" fontId="2" fillId="0" borderId="0" xfId="0" applyFont="1" applyAlignment="1">
      <alignment horizontal="center" vertical="center"/>
    </xf>
    <xf numFmtId="0" fontId="1" fillId="0" borderId="12" xfId="0" applyFont="1" applyBorder="1" applyAlignment="1">
      <alignment horizontal="center" vertical="center"/>
    </xf>
    <xf numFmtId="0" fontId="1" fillId="0" borderId="25" xfId="0" applyFont="1" applyBorder="1" applyAlignment="1">
      <alignment vertical="center"/>
    </xf>
    <xf numFmtId="0" fontId="1" fillId="0" borderId="26" xfId="0" applyFont="1" applyBorder="1" applyAlignment="1">
      <alignment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vertical="center"/>
    </xf>
    <xf numFmtId="0" fontId="1" fillId="0" borderId="22"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7" xfId="0" applyFont="1" applyBorder="1" applyAlignment="1">
      <alignment horizontal="center" vertical="center"/>
    </xf>
    <xf numFmtId="0" fontId="4" fillId="0" borderId="17" xfId="0" applyFont="1" applyBorder="1" applyAlignment="1">
      <alignment horizontal="center" vertical="center"/>
    </xf>
    <xf numFmtId="0" fontId="1" fillId="0" borderId="11" xfId="0" applyFont="1" applyBorder="1" applyAlignment="1">
      <alignment horizontal="center" vertical="center" wrapText="1"/>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7" xfId="0" applyFont="1" applyBorder="1" applyAlignment="1">
      <alignment horizontal="center" vertical="center"/>
    </xf>
    <xf numFmtId="0" fontId="1" fillId="0" borderId="38" xfId="0" applyFont="1" applyBorder="1" applyAlignment="1">
      <alignment horizontal="center" vertical="center"/>
    </xf>
    <xf numFmtId="0" fontId="1" fillId="0" borderId="21" xfId="0" applyFont="1" applyBorder="1" applyAlignment="1">
      <alignment horizontal="center" vertical="center"/>
    </xf>
    <xf numFmtId="0" fontId="5" fillId="0" borderId="10" xfId="0" applyFont="1" applyBorder="1" applyAlignment="1">
      <alignment horizontal="center" vertical="center"/>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13" xfId="0" applyFont="1" applyBorder="1" applyAlignment="1">
      <alignment horizontal="left" vertical="center"/>
    </xf>
    <xf numFmtId="0" fontId="7" fillId="0" borderId="29" xfId="0" applyFont="1" applyBorder="1" applyAlignment="1">
      <alignment horizontal="left" vertical="center"/>
    </xf>
    <xf numFmtId="0" fontId="1" fillId="0" borderId="12"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14" xfId="0" applyFont="1" applyBorder="1" applyAlignment="1">
      <alignment vertical="center" wrapText="1"/>
    </xf>
    <xf numFmtId="0" fontId="1" fillId="0" borderId="20" xfId="0" applyFont="1" applyBorder="1" applyAlignment="1">
      <alignment vertical="center"/>
    </xf>
    <xf numFmtId="0" fontId="1" fillId="0" borderId="24" xfId="0" applyFont="1" applyBorder="1" applyAlignment="1">
      <alignment vertical="center"/>
    </xf>
    <xf numFmtId="0" fontId="1" fillId="0" borderId="3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0" xfId="0" applyFont="1" applyBorder="1" applyAlignment="1">
      <alignment horizontal="center" vertical="center"/>
    </xf>
    <xf numFmtId="0" fontId="1" fillId="0" borderId="53"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7" fillId="0" borderId="52" xfId="0" applyFont="1" applyBorder="1" applyAlignment="1">
      <alignment horizontal="center" vertical="center"/>
    </xf>
    <xf numFmtId="0" fontId="8" fillId="0" borderId="41" xfId="0" applyFont="1" applyBorder="1" applyAlignment="1">
      <alignment vertical="center" wrapText="1"/>
    </xf>
    <xf numFmtId="0" fontId="8" fillId="0" borderId="42" xfId="0" applyFont="1" applyBorder="1" applyAlignment="1">
      <alignment vertical="center" wrapText="1"/>
    </xf>
    <xf numFmtId="0" fontId="8" fillId="0" borderId="43" xfId="0" applyFont="1" applyBorder="1" applyAlignment="1">
      <alignment vertical="center" wrapText="1"/>
    </xf>
    <xf numFmtId="0" fontId="1" fillId="0" borderId="0" xfId="0" applyFont="1" applyAlignment="1">
      <alignment vertical="center" wrapText="1"/>
    </xf>
    <xf numFmtId="176" fontId="4" fillId="0" borderId="0" xfId="0" applyNumberFormat="1" applyFont="1" applyAlignment="1">
      <alignment horizontal="distributed" vertical="center"/>
    </xf>
    <xf numFmtId="177" fontId="1" fillId="0" borderId="38" xfId="0" applyNumberFormat="1" applyFont="1" applyBorder="1" applyAlignment="1">
      <alignment horizontal="center" vertical="center" shrinkToFit="1"/>
    </xf>
    <xf numFmtId="177" fontId="1" fillId="0" borderId="21" xfId="0" applyNumberFormat="1" applyFont="1" applyBorder="1" applyAlignment="1">
      <alignment horizontal="center" vertical="center" shrinkToFit="1"/>
    </xf>
    <xf numFmtId="0" fontId="1" fillId="0" borderId="40"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29"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Alignment="1">
      <alignment horizontal="left" vertical="center" wrapText="1"/>
    </xf>
    <xf numFmtId="0" fontId="1" fillId="0" borderId="39"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7" fillId="0" borderId="19" xfId="0" applyFont="1" applyBorder="1" applyAlignment="1">
      <alignment horizontal="center" vertical="center"/>
    </xf>
    <xf numFmtId="0" fontId="7" fillId="0" borderId="39"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99FF"/>
      <color rgb="FFFF33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975360</xdr:colOff>
      <xdr:row>0</xdr:row>
      <xdr:rowOff>144779</xdr:rowOff>
    </xdr:from>
    <xdr:to>
      <xdr:col>6</xdr:col>
      <xdr:colOff>510540</xdr:colOff>
      <xdr:row>0</xdr:row>
      <xdr:rowOff>335280</xdr:rowOff>
    </xdr:to>
    <xdr:sp macro="" textlink="">
      <xdr:nvSpPr>
        <xdr:cNvPr id="1058" name="AutoShape 17">
          <a:extLst>
            <a:ext uri="{FF2B5EF4-FFF2-40B4-BE49-F238E27FC236}">
              <a16:creationId xmlns:a16="http://schemas.microsoft.com/office/drawing/2014/main" id="{00000000-0008-0000-0100-000022040000}"/>
            </a:ext>
          </a:extLst>
        </xdr:cNvPr>
        <xdr:cNvSpPr>
          <a:spLocks noChangeArrowheads="1"/>
        </xdr:cNvSpPr>
      </xdr:nvSpPr>
      <xdr:spPr>
        <a:xfrm>
          <a:off x="4411980" y="144779"/>
          <a:ext cx="3322320" cy="190501"/>
        </a:xfrm>
        <a:prstGeom prst="rightArrow">
          <a:avLst>
            <a:gd name="adj1" fmla="val 47824"/>
            <a:gd name="adj2" fmla="val 147199"/>
          </a:avLst>
        </a:prstGeom>
        <a:solidFill>
          <a:srgbClr val="FFFFFF"/>
        </a:solidFill>
        <a:ln w="9525">
          <a:solidFill>
            <a:srgbClr val="000000"/>
          </a:solidFill>
          <a:miter lim="800000"/>
        </a:ln>
      </xdr:spPr>
    </xdr:sp>
    <xdr:clientData/>
  </xdr:twoCellAnchor>
  <xdr:twoCellAnchor>
    <xdr:from>
      <xdr:col>4</xdr:col>
      <xdr:colOff>228599</xdr:colOff>
      <xdr:row>25</xdr:row>
      <xdr:rowOff>123824</xdr:rowOff>
    </xdr:from>
    <xdr:to>
      <xdr:col>6</xdr:col>
      <xdr:colOff>369092</xdr:colOff>
      <xdr:row>29</xdr:row>
      <xdr:rowOff>59531</xdr:rowOff>
    </xdr:to>
    <xdr:sp macro="" textlink="">
      <xdr:nvSpPr>
        <xdr:cNvPr id="2" name="テキストボックス 1">
          <a:extLst>
            <a:ext uri="{FF2B5EF4-FFF2-40B4-BE49-F238E27FC236}">
              <a16:creationId xmlns:a16="http://schemas.microsoft.com/office/drawing/2014/main" id="{00000000-0008-0000-0100-000002000000}"/>
            </a:ext>
          </a:extLst>
        </xdr:cNvPr>
        <xdr:cNvSpPr txBox="1"/>
      </xdr:nvSpPr>
      <xdr:spPr>
        <a:xfrm>
          <a:off x="6931818" y="8601074"/>
          <a:ext cx="1545430" cy="11025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ja-JP" sz="1200"/>
            <a:t>7/12</a:t>
          </a:r>
          <a:r>
            <a:rPr lang="ja-JP" altLang="en-US" sz="1200"/>
            <a:t>と入力すると</a:t>
          </a:r>
          <a:endParaRPr lang="en-US" altLang="ja-JP" sz="1200"/>
        </a:p>
        <a:p>
          <a:pPr algn="ctr"/>
          <a:r>
            <a:rPr lang="ja-JP" altLang="en-US" sz="1200"/>
            <a:t>令和</a:t>
          </a:r>
          <a:r>
            <a:rPr lang="en-US" altLang="ja-JP" sz="1200"/>
            <a:t>7</a:t>
          </a:r>
          <a:r>
            <a:rPr lang="ja-JP" altLang="en-US" sz="1200"/>
            <a:t>年</a:t>
          </a:r>
          <a:r>
            <a:rPr lang="en-US" altLang="ja-JP" sz="1200"/>
            <a:t>7</a:t>
          </a:r>
          <a:r>
            <a:rPr lang="ja-JP" altLang="en-US" sz="1200"/>
            <a:t>月</a:t>
          </a:r>
          <a:r>
            <a:rPr lang="en-US" altLang="ja-JP" sz="1200"/>
            <a:t>12</a:t>
          </a:r>
          <a:r>
            <a:rPr lang="ja-JP" altLang="en-US" sz="1200"/>
            <a:t>日</a:t>
          </a:r>
          <a:endParaRPr lang="en-US" altLang="ja-JP" sz="1200"/>
        </a:p>
        <a:p>
          <a:pPr algn="ctr"/>
          <a:r>
            <a:rPr lang="ja-JP" altLang="en-US" sz="1200"/>
            <a:t>と表示されます。</a:t>
          </a:r>
          <a:endParaRPr lang="en-US" altLang="ja-JP" sz="1200"/>
        </a:p>
      </xdr:txBody>
    </xdr:sp>
    <xdr:clientData/>
  </xdr:twoCellAnchor>
  <xdr:twoCellAnchor>
    <xdr:from>
      <xdr:col>3</xdr:col>
      <xdr:colOff>97155</xdr:colOff>
      <xdr:row>25</xdr:row>
      <xdr:rowOff>150495</xdr:rowOff>
    </xdr:from>
    <xdr:to>
      <xdr:col>4</xdr:col>
      <xdr:colOff>230505</xdr:colOff>
      <xdr:row>25</xdr:row>
      <xdr:rowOff>150495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a:off x="3533775" y="8768715"/>
          <a:ext cx="2731770" cy="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439103</xdr:colOff>
      <xdr:row>3</xdr:row>
      <xdr:rowOff>0</xdr:rowOff>
    </xdr:from>
    <xdr:to>
      <xdr:col>11</xdr:col>
      <xdr:colOff>1376363</xdr:colOff>
      <xdr:row>3</xdr:row>
      <xdr:rowOff>312420</xdr:rowOff>
    </xdr:to>
    <xdr:sp macro="" textlink="">
      <xdr:nvSpPr>
        <xdr:cNvPr id="6" name="AutoShape 14">
          <a:extLst>
            <a:ext uri="{FF2B5EF4-FFF2-40B4-BE49-F238E27FC236}">
              <a16:creationId xmlns:a16="http://schemas.microsoft.com/office/drawing/2014/main" id="{00000000-0008-0000-0100-000006000000}"/>
            </a:ext>
          </a:extLst>
        </xdr:cNvPr>
        <xdr:cNvSpPr>
          <a:spLocks noChangeArrowheads="1"/>
        </xdr:cNvSpPr>
      </xdr:nvSpPr>
      <xdr:spPr>
        <a:xfrm>
          <a:off x="12714447" y="1071563"/>
          <a:ext cx="937260" cy="312420"/>
        </a:xfrm>
        <a:prstGeom prst="downArrow">
          <a:avLst>
            <a:gd name="adj1" fmla="val 50000"/>
            <a:gd name="adj2" fmla="val 25000"/>
          </a:avLst>
        </a:prstGeom>
        <a:solidFill>
          <a:srgbClr val="FFFF00"/>
        </a:solidFill>
        <a:ln w="9525">
          <a:solidFill>
            <a:srgbClr val="000000"/>
          </a:solidFill>
          <a:miter lim="800000"/>
        </a:ln>
      </xdr:spPr>
    </xdr:sp>
    <xdr:clientData/>
  </xdr:twoCellAnchor>
  <xdr:twoCellAnchor>
    <xdr:from>
      <xdr:col>3</xdr:col>
      <xdr:colOff>855821</xdr:colOff>
      <xdr:row>3</xdr:row>
      <xdr:rowOff>14764</xdr:rowOff>
    </xdr:from>
    <xdr:to>
      <xdr:col>3</xdr:col>
      <xdr:colOff>1907381</xdr:colOff>
      <xdr:row>3</xdr:row>
      <xdr:rowOff>301467</xdr:rowOff>
    </xdr:to>
    <xdr:sp macro="" textlink="">
      <xdr:nvSpPr>
        <xdr:cNvPr id="7" name="AutoShape 14">
          <a:extLst>
            <a:ext uri="{FF2B5EF4-FFF2-40B4-BE49-F238E27FC236}">
              <a16:creationId xmlns:a16="http://schemas.microsoft.com/office/drawing/2014/main" id="{00000000-0008-0000-0100-000007000000}"/>
            </a:ext>
          </a:extLst>
        </xdr:cNvPr>
        <xdr:cNvSpPr>
          <a:spLocks noChangeArrowheads="1"/>
        </xdr:cNvSpPr>
      </xdr:nvSpPr>
      <xdr:spPr>
        <a:xfrm>
          <a:off x="4677727" y="1086327"/>
          <a:ext cx="1051560" cy="286703"/>
        </a:xfrm>
        <a:prstGeom prst="downArrow">
          <a:avLst>
            <a:gd name="adj1" fmla="val 50000"/>
            <a:gd name="adj2" fmla="val 25000"/>
          </a:avLst>
        </a:prstGeom>
        <a:solidFill>
          <a:srgbClr val="FFFF00"/>
        </a:solidFill>
        <a:ln w="9525">
          <a:solidFill>
            <a:srgbClr val="000000"/>
          </a:solidFill>
          <a:miter lim="800000"/>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401955</xdr:colOff>
      <xdr:row>4</xdr:row>
      <xdr:rowOff>17145</xdr:rowOff>
    </xdr:from>
    <xdr:to>
      <xdr:col>4</xdr:col>
      <xdr:colOff>297180</xdr:colOff>
      <xdr:row>7</xdr:row>
      <xdr:rowOff>102870</xdr:rowOff>
    </xdr:to>
    <xdr:sp macro="" textlink="">
      <xdr:nvSpPr>
        <xdr:cNvPr id="3074" name="WordArt 2">
          <a:extLst>
            <a:ext uri="{FF2B5EF4-FFF2-40B4-BE49-F238E27FC236}">
              <a16:creationId xmlns:a16="http://schemas.microsoft.com/office/drawing/2014/main" id="{00000000-0008-0000-0300-0000020C0000}"/>
            </a:ext>
          </a:extLst>
        </xdr:cNvPr>
        <xdr:cNvSpPr>
          <a:spLocks noChangeArrowheads="1" noChangeShapeType="1" noTextEdit="1"/>
        </xdr:cNvSpPr>
      </xdr:nvSpPr>
      <xdr:spPr>
        <a:xfrm>
          <a:off x="401955" y="992505"/>
          <a:ext cx="2181225" cy="1045845"/>
        </a:xfrm>
        <a:prstGeom prst="rect">
          <a:avLst/>
        </a:prstGeom>
      </xdr:spPr>
      <xdr:txBody>
        <a:bodyPr wrap="none" fromWordArt="1">
          <a:prstTxWarp prst="textSlantUp">
            <a:avLst>
              <a:gd name="adj" fmla="val 55556"/>
            </a:avLst>
          </a:prstTxWarp>
        </a:bodyPr>
        <a:lstStyle/>
        <a:p>
          <a:pPr algn="ctr" rtl="0"/>
          <a:r>
            <a:rPr lang="ja-JP" altLang="en-US" sz="3600" kern="10" spc="0">
              <a:ln w="9525">
                <a:noFill/>
                <a:round/>
              </a:ln>
              <a:solidFill>
                <a:srgbClr val="FF3399"/>
              </a:solidFill>
              <a:effectLst/>
              <a:latin typeface="ＭＳ Ｐゴシック" panose="020B0600070205080204" charset="-128"/>
              <a:ea typeface="ＭＳ Ｐゴシック" panose="020B0600070205080204" charset="-128"/>
            </a:rPr>
            <a:t>個人戦サンプル</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itama.tt.kentai.ck@gmail.com" TargetMode="External"/><Relationship Id="rId1" Type="http://schemas.openxmlformats.org/officeDocument/2006/relationships/hyperlink" Target="https://saichutaku.info/kanto53/"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B1:J37"/>
  <sheetViews>
    <sheetView topLeftCell="A27" workbookViewId="0">
      <selection activeCell="B1" sqref="B1"/>
    </sheetView>
  </sheetViews>
  <sheetFormatPr baseColWidth="10" defaultColWidth="9" defaultRowHeight="14"/>
  <cols>
    <col min="1" max="1" width="0.1640625" customWidth="1"/>
    <col min="2" max="2" width="2.1640625" style="28" customWidth="1"/>
    <col min="3" max="3" width="11.6640625" style="28" customWidth="1"/>
    <col min="4" max="4" width="15.33203125" style="28" customWidth="1"/>
    <col min="5" max="5" width="34.33203125" style="28" customWidth="1"/>
    <col min="6" max="7" width="9" style="28"/>
    <col min="8" max="8" width="14.1640625" style="28" customWidth="1"/>
    <col min="9" max="9" width="10.83203125" style="28" customWidth="1"/>
    <col min="10" max="10" width="16.83203125" style="28" customWidth="1"/>
  </cols>
  <sheetData>
    <row r="1" spans="2:8" ht="27" customHeight="1">
      <c r="B1" s="29"/>
      <c r="C1" s="69" t="s">
        <v>24</v>
      </c>
      <c r="D1" s="70"/>
    </row>
    <row r="2" spans="2:8" ht="18" customHeight="1">
      <c r="B2" s="29"/>
      <c r="C2" s="69"/>
      <c r="D2" s="70"/>
    </row>
    <row r="3" spans="2:8" ht="25.5" customHeight="1">
      <c r="C3" s="30" t="s">
        <v>82</v>
      </c>
    </row>
    <row r="4" spans="2:8" ht="24.75" customHeight="1">
      <c r="C4" s="30" t="s">
        <v>62</v>
      </c>
    </row>
    <row r="5" spans="2:8" ht="18" customHeight="1">
      <c r="B5" s="29"/>
    </row>
    <row r="6" spans="2:8" ht="22.5" customHeight="1">
      <c r="C6" s="28" t="s">
        <v>88</v>
      </c>
      <c r="E6" s="31"/>
    </row>
    <row r="7" spans="2:8" ht="22.5" customHeight="1">
      <c r="C7" s="28" t="s">
        <v>87</v>
      </c>
      <c r="E7" s="31"/>
    </row>
    <row r="8" spans="2:8" ht="23.25" customHeight="1">
      <c r="C8" s="28" t="s">
        <v>70</v>
      </c>
    </row>
    <row r="9" spans="2:8" ht="23.25" customHeight="1">
      <c r="C9" s="28" t="s">
        <v>71</v>
      </c>
    </row>
    <row r="10" spans="2:8" ht="23.25" customHeight="1">
      <c r="C10" s="91" t="s">
        <v>93</v>
      </c>
      <c r="D10" s="92"/>
      <c r="E10" s="92"/>
      <c r="F10" s="92"/>
      <c r="G10" s="92"/>
      <c r="H10" s="28" t="s">
        <v>54</v>
      </c>
    </row>
    <row r="11" spans="2:8" ht="18" customHeight="1">
      <c r="D11" s="31"/>
    </row>
    <row r="12" spans="2:8" ht="18" customHeight="1"/>
    <row r="13" spans="2:8" ht="21.75" customHeight="1">
      <c r="B13" s="32">
        <v>1</v>
      </c>
      <c r="C13" s="28" t="s">
        <v>55</v>
      </c>
    </row>
    <row r="14" spans="2:8" ht="21.75" customHeight="1">
      <c r="C14" s="28" t="s">
        <v>56</v>
      </c>
    </row>
    <row r="15" spans="2:8" ht="21.75" customHeight="1">
      <c r="C15" s="28" t="s">
        <v>141</v>
      </c>
    </row>
    <row r="16" spans="2:8" ht="21.75" customHeight="1">
      <c r="C16" s="28" t="s">
        <v>0</v>
      </c>
      <c r="E16" s="88" t="s">
        <v>94</v>
      </c>
      <c r="F16" s="89"/>
      <c r="G16" s="89"/>
      <c r="H16" s="28" t="s">
        <v>54</v>
      </c>
    </row>
    <row r="17" spans="2:8" ht="21.75" customHeight="1">
      <c r="C17" s="28" t="s">
        <v>57</v>
      </c>
    </row>
    <row r="18" spans="2:8" ht="21.75" customHeight="1">
      <c r="C18" s="28" t="s">
        <v>58</v>
      </c>
    </row>
    <row r="19" spans="2:8" ht="21.75" customHeight="1">
      <c r="C19" s="28" t="s">
        <v>95</v>
      </c>
    </row>
    <row r="20" spans="2:8" ht="21.75" customHeight="1">
      <c r="C20" s="28" t="s">
        <v>83</v>
      </c>
    </row>
    <row r="21" spans="2:8" ht="21.75" customHeight="1">
      <c r="C21" s="28" t="s">
        <v>73</v>
      </c>
    </row>
    <row r="22" spans="2:8" ht="21.75" customHeight="1">
      <c r="C22" s="28" t="s">
        <v>74</v>
      </c>
    </row>
    <row r="23" spans="2:8" ht="21.5" customHeight="1">
      <c r="C23" s="90" t="s">
        <v>59</v>
      </c>
      <c r="D23" s="90"/>
      <c r="E23" s="90"/>
      <c r="F23" s="90"/>
      <c r="G23" s="90"/>
      <c r="H23" s="90"/>
    </row>
    <row r="24" spans="2:8" ht="21.75" customHeight="1">
      <c r="C24" s="28" t="s">
        <v>60</v>
      </c>
    </row>
    <row r="25" spans="2:8" ht="22.25" customHeight="1">
      <c r="C25" s="90" t="s">
        <v>61</v>
      </c>
      <c r="D25" s="90"/>
      <c r="E25" s="90"/>
      <c r="F25" s="90"/>
      <c r="G25" s="90"/>
      <c r="H25" s="90"/>
    </row>
    <row r="26" spans="2:8" ht="21.75" customHeight="1">
      <c r="C26" s="28" t="s">
        <v>72</v>
      </c>
    </row>
    <row r="27" spans="2:8" ht="21.75" customHeight="1">
      <c r="C27" s="28" t="s">
        <v>63</v>
      </c>
    </row>
    <row r="28" spans="2:8" ht="21.75" customHeight="1"/>
    <row r="29" spans="2:8" ht="21.75" customHeight="1">
      <c r="B29" s="32">
        <v>2</v>
      </c>
      <c r="C29" s="28" t="s">
        <v>65</v>
      </c>
    </row>
    <row r="30" spans="2:8" ht="21.75" customHeight="1">
      <c r="C30" s="28" t="s">
        <v>66</v>
      </c>
    </row>
    <row r="31" spans="2:8" ht="21.75" customHeight="1" thickBot="1"/>
    <row r="32" spans="2:8" ht="21.75" customHeight="1">
      <c r="B32" s="33"/>
      <c r="C32" s="67" t="s">
        <v>1</v>
      </c>
      <c r="D32" s="34"/>
      <c r="E32" s="34"/>
      <c r="F32" s="34"/>
      <c r="G32" s="34"/>
      <c r="H32" s="35"/>
    </row>
    <row r="33" spans="2:8" ht="21.75" customHeight="1">
      <c r="B33" s="36"/>
      <c r="D33" s="51" t="s">
        <v>117</v>
      </c>
      <c r="H33" s="37"/>
    </row>
    <row r="34" spans="2:8" ht="21.75" customHeight="1">
      <c r="B34" s="36"/>
      <c r="D34" s="1"/>
      <c r="E34" s="51" t="s">
        <v>96</v>
      </c>
      <c r="H34" s="37"/>
    </row>
    <row r="35" spans="2:8" ht="21.75" customHeight="1">
      <c r="B35" s="36"/>
      <c r="D35" s="51" t="s">
        <v>97</v>
      </c>
      <c r="F35" s="1"/>
      <c r="H35" s="37"/>
    </row>
    <row r="36" spans="2:8" ht="21.75" customHeight="1">
      <c r="B36" s="36"/>
      <c r="D36" s="68" t="s">
        <v>98</v>
      </c>
      <c r="H36" s="37"/>
    </row>
    <row r="37" spans="2:8" ht="21.75" customHeight="1" thickBot="1">
      <c r="B37" s="38"/>
      <c r="C37" s="39"/>
      <c r="D37" s="39"/>
      <c r="E37" s="39"/>
      <c r="F37" s="39"/>
      <c r="G37" s="39"/>
      <c r="H37" s="40"/>
    </row>
  </sheetData>
  <sheetProtection sheet="1" selectLockedCells="1"/>
  <mergeCells count="4">
    <mergeCell ref="E16:G16"/>
    <mergeCell ref="C23:H23"/>
    <mergeCell ref="C25:H25"/>
    <mergeCell ref="C10:G10"/>
  </mergeCells>
  <phoneticPr fontId="15"/>
  <hyperlinks>
    <hyperlink ref="C10" r:id="rId1" xr:uid="{00000000-0004-0000-0000-000001000000}"/>
    <hyperlink ref="E16" r:id="rId2" xr:uid="{00000000-0004-0000-0000-000000000000}"/>
  </hyperlinks>
  <printOptions horizontalCentered="1" verticalCentered="1"/>
  <pageMargins left="0.51181102362204722" right="0.51181102362204722" top="0.55118110236220474" bottom="0.98425196850393704" header="0.51181102362204722" footer="0.51181102362204722"/>
  <pageSetup paperSize="9" scale="98" orientation="portrait" r:id="rId3"/>
  <headerFooter alignWithMargins="0">
    <oddHeader>&amp;R関東大会個人戦申込手順</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pageSetUpPr fitToPage="1"/>
  </sheetPr>
  <dimension ref="A1:P55"/>
  <sheetViews>
    <sheetView topLeftCell="B1" zoomScale="65" zoomScaleNormal="80" workbookViewId="0">
      <selection activeCell="C4" sqref="C4"/>
    </sheetView>
  </sheetViews>
  <sheetFormatPr baseColWidth="10" defaultColWidth="9" defaultRowHeight="14"/>
  <cols>
    <col min="1" max="1" width="3.5" style="1" hidden="1" customWidth="1"/>
    <col min="2" max="2" width="21.83203125" style="1" customWidth="1"/>
    <col min="3" max="3" width="29.1640625" style="1" customWidth="1"/>
    <col min="4" max="4" width="37.83203125" style="1" customWidth="1"/>
    <col min="5" max="5" width="5.5" style="1" customWidth="1"/>
    <col min="6" max="6" width="13" style="1" customWidth="1"/>
    <col min="7" max="7" width="9.5" style="1" customWidth="1"/>
    <col min="8" max="8" width="1.33203125" style="1" customWidth="1"/>
    <col min="9" max="9" width="2.5" style="1" hidden="1" customWidth="1"/>
    <col min="10" max="10" width="19.5" style="1" customWidth="1"/>
    <col min="11" max="11" width="26.33203125" style="1" customWidth="1"/>
    <col min="12" max="12" width="23.5" style="1" customWidth="1"/>
    <col min="13" max="13" width="4.1640625" style="1" customWidth="1"/>
    <col min="14" max="14" width="11" style="1" customWidth="1"/>
    <col min="15" max="15" width="8.5" style="1" customWidth="1"/>
    <col min="16" max="16" width="1.83203125" style="1" customWidth="1"/>
    <col min="17" max="16384" width="9" style="1"/>
  </cols>
  <sheetData>
    <row r="1" spans="1:16" ht="39" customHeight="1">
      <c r="B1" s="93" t="s">
        <v>76</v>
      </c>
      <c r="C1" s="93"/>
      <c r="D1" s="93"/>
      <c r="E1" s="93"/>
      <c r="F1" s="11"/>
      <c r="G1" s="11"/>
      <c r="H1" s="11"/>
      <c r="J1" s="94" t="s">
        <v>80</v>
      </c>
      <c r="K1" s="94"/>
      <c r="L1" s="94"/>
      <c r="M1" s="94"/>
      <c r="N1" s="11"/>
      <c r="O1" s="11"/>
      <c r="P1" s="11"/>
    </row>
    <row r="2" spans="1:16" ht="21" customHeight="1">
      <c r="B2" s="82" t="s">
        <v>139</v>
      </c>
      <c r="C2" s="71"/>
      <c r="D2" s="71"/>
      <c r="E2" s="71"/>
      <c r="F2" s="71"/>
      <c r="G2" s="71"/>
      <c r="H2" s="71"/>
      <c r="J2" s="11"/>
      <c r="K2" s="11"/>
      <c r="L2" s="11"/>
      <c r="M2" s="11"/>
      <c r="N2" s="11"/>
      <c r="O2" s="11"/>
      <c r="P2" s="11"/>
    </row>
    <row r="3" spans="1:16" ht="25.25" customHeight="1">
      <c r="A3" s="1">
        <v>1</v>
      </c>
      <c r="B3" s="72" t="s">
        <v>2</v>
      </c>
      <c r="C3" s="12" t="s">
        <v>25</v>
      </c>
      <c r="D3" s="80" t="s">
        <v>36</v>
      </c>
      <c r="E3" s="71"/>
      <c r="F3" s="71"/>
      <c r="G3" s="71"/>
      <c r="H3" s="71"/>
      <c r="I3" s="1">
        <v>1</v>
      </c>
      <c r="J3" s="20" t="s">
        <v>2</v>
      </c>
      <c r="K3" s="16" t="s">
        <v>25</v>
      </c>
      <c r="L3" s="80" t="s">
        <v>36</v>
      </c>
      <c r="M3" s="11"/>
      <c r="N3" s="11"/>
      <c r="O3" s="11"/>
      <c r="P3" s="11"/>
    </row>
    <row r="4" spans="1:16" ht="25.5" customHeight="1">
      <c r="A4" s="1">
        <v>2</v>
      </c>
      <c r="B4" s="72" t="s">
        <v>3</v>
      </c>
      <c r="C4" s="12" t="s">
        <v>104</v>
      </c>
      <c r="D4" s="71"/>
      <c r="E4" s="71"/>
      <c r="F4" s="71"/>
      <c r="G4" s="71"/>
      <c r="H4" s="71"/>
      <c r="I4" s="1">
        <v>2</v>
      </c>
      <c r="J4" s="20" t="s">
        <v>3</v>
      </c>
      <c r="K4" s="16" t="s">
        <v>104</v>
      </c>
      <c r="L4" s="11"/>
      <c r="M4" s="11"/>
      <c r="N4" s="11"/>
      <c r="O4" s="11"/>
      <c r="P4" s="11"/>
    </row>
    <row r="5" spans="1:16" ht="25.5" customHeight="1">
      <c r="A5" s="1">
        <v>4</v>
      </c>
      <c r="B5" s="73" t="s">
        <v>26</v>
      </c>
      <c r="C5" s="12"/>
      <c r="D5" s="12"/>
      <c r="E5" s="79" t="str">
        <f>IF(LEFT(C5,4)="学校法人","　","　")</f>
        <v>　</v>
      </c>
      <c r="F5" s="79" t="str">
        <f>IF(LEFT(C5,4)="学校法人","　","　")</f>
        <v>　</v>
      </c>
      <c r="G5" s="71"/>
      <c r="H5" s="71"/>
      <c r="I5" s="1">
        <v>4</v>
      </c>
      <c r="J5" s="22" t="s">
        <v>42</v>
      </c>
      <c r="K5" s="16" t="s">
        <v>105</v>
      </c>
      <c r="L5" s="16" t="s">
        <v>106</v>
      </c>
      <c r="M5" s="18" t="str">
        <f>IF(LEFT(K5,4)="学校法人","　","　")</f>
        <v>　</v>
      </c>
      <c r="N5" s="18" t="str">
        <f>IF(LEFT(K5,4)="学校法人","　","　")</f>
        <v>　</v>
      </c>
      <c r="O5" s="11"/>
      <c r="P5" s="11"/>
    </row>
    <row r="6" spans="1:16" ht="26" customHeight="1">
      <c r="A6" s="1">
        <v>5</v>
      </c>
      <c r="B6" s="72" t="s">
        <v>69</v>
      </c>
      <c r="C6" s="12"/>
      <c r="D6" s="12"/>
      <c r="E6" s="71"/>
      <c r="F6" s="71"/>
      <c r="G6" s="71"/>
      <c r="H6" s="71"/>
      <c r="I6" s="1">
        <v>5</v>
      </c>
      <c r="J6" s="20" t="s">
        <v>69</v>
      </c>
      <c r="K6" s="16" t="s">
        <v>107</v>
      </c>
      <c r="L6" s="66" t="s">
        <v>108</v>
      </c>
      <c r="M6" s="11"/>
      <c r="N6" s="11"/>
      <c r="O6" s="11"/>
      <c r="P6" s="11"/>
    </row>
    <row r="7" spans="1:16" ht="25.5" customHeight="1">
      <c r="A7" s="1">
        <v>6</v>
      </c>
      <c r="B7" s="72" t="s">
        <v>27</v>
      </c>
      <c r="C7" s="12"/>
      <c r="D7" s="12"/>
      <c r="E7" s="71"/>
      <c r="F7" s="71"/>
      <c r="G7" s="71"/>
      <c r="H7" s="71"/>
      <c r="I7" s="1">
        <v>6</v>
      </c>
      <c r="J7" s="20" t="s">
        <v>38</v>
      </c>
      <c r="K7" s="16" t="s">
        <v>109</v>
      </c>
      <c r="L7" s="16" t="s">
        <v>110</v>
      </c>
      <c r="M7" s="11"/>
      <c r="N7" s="11"/>
      <c r="O7" s="11"/>
      <c r="P7" s="11"/>
    </row>
    <row r="8" spans="1:16" ht="24" customHeight="1">
      <c r="A8" s="1">
        <v>7</v>
      </c>
      <c r="B8" s="73" t="s">
        <v>28</v>
      </c>
      <c r="C8" s="12"/>
      <c r="D8" s="71"/>
      <c r="E8" s="71"/>
      <c r="F8" s="71"/>
      <c r="G8" s="71"/>
      <c r="H8" s="71"/>
      <c r="I8" s="1">
        <v>7</v>
      </c>
      <c r="J8" s="22" t="s">
        <v>39</v>
      </c>
      <c r="K8" s="16" t="s">
        <v>111</v>
      </c>
      <c r="L8" s="11"/>
      <c r="M8" s="11"/>
      <c r="N8" s="11"/>
      <c r="O8" s="11"/>
      <c r="P8" s="11"/>
    </row>
    <row r="9" spans="1:16" ht="30.75" customHeight="1">
      <c r="A9" s="1">
        <v>8</v>
      </c>
      <c r="B9" s="73" t="s">
        <v>84</v>
      </c>
      <c r="C9" s="12"/>
      <c r="D9" s="12"/>
      <c r="E9" s="71"/>
      <c r="F9" s="71"/>
      <c r="G9" s="71"/>
      <c r="H9" s="71"/>
      <c r="I9" s="1">
        <v>8</v>
      </c>
      <c r="J9" s="65" t="s">
        <v>86</v>
      </c>
      <c r="K9" s="16" t="s">
        <v>112</v>
      </c>
      <c r="L9" s="16" t="s">
        <v>113</v>
      </c>
      <c r="M9" s="11"/>
      <c r="N9" s="11"/>
      <c r="O9" s="11"/>
      <c r="P9" s="11"/>
    </row>
    <row r="10" spans="1:16" ht="27.75" customHeight="1">
      <c r="A10" s="1">
        <v>9</v>
      </c>
      <c r="B10" s="73" t="s">
        <v>85</v>
      </c>
      <c r="C10" s="12"/>
      <c r="D10" s="42"/>
      <c r="E10" s="71"/>
      <c r="F10" s="71"/>
      <c r="G10" s="71"/>
      <c r="H10" s="71"/>
      <c r="I10" s="1">
        <v>9</v>
      </c>
      <c r="J10" s="22" t="s">
        <v>85</v>
      </c>
      <c r="K10" s="16" t="s">
        <v>114</v>
      </c>
      <c r="L10" s="46" t="s">
        <v>115</v>
      </c>
      <c r="M10" s="11"/>
      <c r="N10" s="11"/>
      <c r="O10" s="11"/>
      <c r="P10" s="11"/>
    </row>
    <row r="11" spans="1:16" ht="25.5" customHeight="1">
      <c r="A11" s="1">
        <v>10</v>
      </c>
      <c r="B11" s="72" t="s">
        <v>64</v>
      </c>
      <c r="C11" s="12"/>
      <c r="D11" s="71"/>
      <c r="E11" s="71"/>
      <c r="F11" s="71"/>
      <c r="G11" s="71"/>
      <c r="H11" s="71"/>
      <c r="I11" s="1">
        <v>10</v>
      </c>
      <c r="J11" s="20" t="s">
        <v>64</v>
      </c>
      <c r="K11" s="81" t="s">
        <v>116</v>
      </c>
      <c r="L11" s="11"/>
      <c r="M11" s="11"/>
      <c r="N11" s="11"/>
      <c r="O11" s="11"/>
      <c r="P11" s="11"/>
    </row>
    <row r="12" spans="1:16" ht="25.5" customHeight="1">
      <c r="A12" s="1">
        <v>11</v>
      </c>
      <c r="B12" s="72" t="s">
        <v>29</v>
      </c>
      <c r="C12" s="12"/>
      <c r="D12" s="71"/>
      <c r="E12" s="71"/>
      <c r="F12" s="71"/>
      <c r="G12" s="71"/>
      <c r="H12" s="71"/>
      <c r="I12" s="1">
        <v>11</v>
      </c>
      <c r="J12" s="20" t="s">
        <v>40</v>
      </c>
      <c r="K12" s="81" t="s">
        <v>116</v>
      </c>
      <c r="L12" s="11"/>
      <c r="M12" s="11"/>
      <c r="N12" s="11"/>
      <c r="O12" s="11"/>
      <c r="P12" s="11"/>
    </row>
    <row r="13" spans="1:16" ht="25.5" customHeight="1">
      <c r="A13" s="1">
        <v>12</v>
      </c>
      <c r="B13" s="72" t="s">
        <v>4</v>
      </c>
      <c r="C13" s="12"/>
      <c r="D13" s="12"/>
      <c r="E13" s="71"/>
      <c r="F13" s="71"/>
      <c r="G13" s="71"/>
      <c r="H13" s="71"/>
      <c r="I13" s="1">
        <v>12</v>
      </c>
      <c r="J13" s="20" t="s">
        <v>4</v>
      </c>
      <c r="K13" s="81" t="s">
        <v>119</v>
      </c>
      <c r="L13" s="16" t="s">
        <v>120</v>
      </c>
      <c r="M13" s="11"/>
      <c r="N13" s="11"/>
      <c r="O13" s="11"/>
      <c r="P13" s="11"/>
    </row>
    <row r="14" spans="1:16" ht="28.25" customHeight="1">
      <c r="A14" s="1">
        <v>13</v>
      </c>
      <c r="B14" s="72" t="s">
        <v>5</v>
      </c>
      <c r="C14" s="12"/>
      <c r="D14" s="97" t="s">
        <v>53</v>
      </c>
      <c r="E14" s="98"/>
      <c r="F14" s="98"/>
      <c r="G14" s="98"/>
      <c r="H14" s="71"/>
      <c r="I14" s="1">
        <v>13</v>
      </c>
      <c r="J14" s="20" t="s">
        <v>5</v>
      </c>
      <c r="K14" s="81" t="s">
        <v>116</v>
      </c>
      <c r="L14" s="11"/>
      <c r="M14" s="11"/>
      <c r="N14" s="11"/>
      <c r="O14" s="11"/>
      <c r="P14" s="11"/>
    </row>
    <row r="15" spans="1:16" ht="28.25" customHeight="1">
      <c r="A15" s="1">
        <v>14</v>
      </c>
      <c r="B15" s="72" t="s">
        <v>6</v>
      </c>
      <c r="C15" s="12"/>
      <c r="D15" s="97" t="s">
        <v>7</v>
      </c>
      <c r="E15" s="98"/>
      <c r="F15" s="98"/>
      <c r="G15" s="98"/>
      <c r="H15" s="71"/>
      <c r="I15" s="1">
        <v>14</v>
      </c>
      <c r="J15" s="20" t="s">
        <v>6</v>
      </c>
      <c r="K15" s="81" t="s">
        <v>79</v>
      </c>
      <c r="L15" s="11"/>
      <c r="M15" s="11"/>
      <c r="N15" s="11"/>
      <c r="O15" s="11"/>
      <c r="P15" s="11"/>
    </row>
    <row r="16" spans="1:16" ht="28.25" customHeight="1">
      <c r="A16" s="1">
        <v>15</v>
      </c>
      <c r="B16" s="73" t="s">
        <v>8</v>
      </c>
      <c r="C16" s="12"/>
      <c r="D16" s="12"/>
      <c r="E16" s="95" t="s">
        <v>52</v>
      </c>
      <c r="F16" s="96"/>
      <c r="G16" s="96"/>
      <c r="H16" s="71"/>
      <c r="I16" s="1">
        <v>15</v>
      </c>
      <c r="J16" s="45" t="s">
        <v>8</v>
      </c>
      <c r="K16" s="16" t="s">
        <v>121</v>
      </c>
      <c r="L16" s="19" t="s">
        <v>122</v>
      </c>
      <c r="M16" s="11"/>
      <c r="N16" s="11"/>
      <c r="O16" s="11"/>
      <c r="P16" s="11"/>
    </row>
    <row r="17" spans="1:16" ht="44" customHeight="1">
      <c r="A17" s="1">
        <v>16</v>
      </c>
      <c r="B17" s="72" t="s">
        <v>30</v>
      </c>
      <c r="C17" s="78" t="s">
        <v>77</v>
      </c>
      <c r="D17" s="78" t="s">
        <v>75</v>
      </c>
      <c r="E17" s="72" t="s">
        <v>10</v>
      </c>
      <c r="F17" s="73" t="s">
        <v>78</v>
      </c>
      <c r="G17" s="73" t="s">
        <v>46</v>
      </c>
      <c r="H17" s="76"/>
      <c r="I17" s="1">
        <v>16</v>
      </c>
      <c r="J17" s="20" t="s">
        <v>30</v>
      </c>
      <c r="K17" s="26" t="s">
        <v>77</v>
      </c>
      <c r="L17" s="26" t="s">
        <v>91</v>
      </c>
      <c r="M17" s="21" t="s">
        <v>10</v>
      </c>
      <c r="N17" s="22" t="s">
        <v>78</v>
      </c>
      <c r="O17" s="17" t="s">
        <v>46</v>
      </c>
      <c r="P17" s="11"/>
    </row>
    <row r="18" spans="1:16" ht="24" customHeight="1">
      <c r="A18" s="1">
        <v>17</v>
      </c>
      <c r="B18" s="74" t="s">
        <v>11</v>
      </c>
      <c r="C18" s="12"/>
      <c r="D18" s="12"/>
      <c r="E18" s="13"/>
      <c r="F18" s="14"/>
      <c r="G18" s="13"/>
      <c r="H18" s="77"/>
      <c r="I18" s="1">
        <v>17</v>
      </c>
      <c r="J18" s="41" t="s">
        <v>11</v>
      </c>
      <c r="K18" s="16" t="s">
        <v>123</v>
      </c>
      <c r="L18" s="16" t="s">
        <v>124</v>
      </c>
      <c r="M18" s="23">
        <v>3</v>
      </c>
      <c r="N18" s="24">
        <v>40219</v>
      </c>
      <c r="O18" s="25">
        <v>3</v>
      </c>
      <c r="P18" s="11"/>
    </row>
    <row r="19" spans="1:16" ht="24" customHeight="1">
      <c r="A19" s="1">
        <v>18</v>
      </c>
      <c r="B19" s="74" t="s">
        <v>12</v>
      </c>
      <c r="C19" s="12"/>
      <c r="D19" s="12"/>
      <c r="E19" s="13"/>
      <c r="F19" s="14"/>
      <c r="G19" s="13"/>
      <c r="H19" s="77"/>
      <c r="I19" s="1">
        <v>18</v>
      </c>
      <c r="J19" s="41" t="s">
        <v>12</v>
      </c>
      <c r="K19" s="16" t="s">
        <v>125</v>
      </c>
      <c r="L19" s="16" t="s">
        <v>127</v>
      </c>
      <c r="M19" s="23">
        <v>3</v>
      </c>
      <c r="N19" s="24">
        <v>40246</v>
      </c>
      <c r="O19" s="25">
        <v>5</v>
      </c>
      <c r="P19" s="11"/>
    </row>
    <row r="20" spans="1:16" ht="24" customHeight="1">
      <c r="A20" s="1">
        <v>19</v>
      </c>
      <c r="B20" s="74" t="s">
        <v>13</v>
      </c>
      <c r="C20" s="12"/>
      <c r="D20" s="12"/>
      <c r="E20" s="13"/>
      <c r="F20" s="14"/>
      <c r="G20" s="13"/>
      <c r="H20" s="77"/>
      <c r="I20" s="1">
        <v>19</v>
      </c>
      <c r="J20" s="41" t="s">
        <v>13</v>
      </c>
      <c r="K20" s="16" t="s">
        <v>126</v>
      </c>
      <c r="L20" s="16" t="s">
        <v>128</v>
      </c>
      <c r="M20" s="23">
        <v>3</v>
      </c>
      <c r="N20" s="24">
        <v>39640</v>
      </c>
      <c r="O20" s="25">
        <v>6</v>
      </c>
      <c r="P20" s="11"/>
    </row>
    <row r="21" spans="1:16" ht="24" customHeight="1">
      <c r="A21" s="1">
        <v>20</v>
      </c>
      <c r="B21" s="74" t="s">
        <v>14</v>
      </c>
      <c r="C21" s="12"/>
      <c r="D21" s="12"/>
      <c r="E21" s="13"/>
      <c r="F21" s="14"/>
      <c r="G21" s="13"/>
      <c r="H21" s="77"/>
      <c r="I21" s="1">
        <v>20</v>
      </c>
      <c r="J21" s="41" t="s">
        <v>14</v>
      </c>
      <c r="K21" s="16" t="s">
        <v>129</v>
      </c>
      <c r="L21" s="16" t="s">
        <v>130</v>
      </c>
      <c r="M21" s="23">
        <v>3</v>
      </c>
      <c r="N21" s="24">
        <v>39773</v>
      </c>
      <c r="O21" s="25">
        <v>8</v>
      </c>
      <c r="P21" s="11"/>
    </row>
    <row r="22" spans="1:16" ht="24" customHeight="1">
      <c r="A22" s="1">
        <v>21</v>
      </c>
      <c r="B22" s="74" t="s">
        <v>15</v>
      </c>
      <c r="C22" s="12"/>
      <c r="D22" s="12"/>
      <c r="E22" s="13"/>
      <c r="F22" s="14"/>
      <c r="G22" s="13"/>
      <c r="H22" s="77"/>
      <c r="I22" s="1">
        <v>21</v>
      </c>
      <c r="J22" s="41" t="s">
        <v>15</v>
      </c>
      <c r="K22" s="16" t="s">
        <v>131</v>
      </c>
      <c r="L22" s="16" t="s">
        <v>132</v>
      </c>
      <c r="M22" s="23">
        <v>1</v>
      </c>
      <c r="N22" s="24">
        <v>40352</v>
      </c>
      <c r="O22" s="25">
        <v>9</v>
      </c>
      <c r="P22" s="11"/>
    </row>
    <row r="23" spans="1:16" ht="24" customHeight="1">
      <c r="A23" s="1">
        <v>22</v>
      </c>
      <c r="B23" s="74" t="s">
        <v>16</v>
      </c>
      <c r="C23" s="12"/>
      <c r="D23" s="12"/>
      <c r="E23" s="13"/>
      <c r="F23" s="14"/>
      <c r="G23" s="13"/>
      <c r="H23" s="77"/>
      <c r="I23" s="1">
        <v>22</v>
      </c>
      <c r="J23" s="41" t="s">
        <v>16</v>
      </c>
      <c r="K23" s="16" t="s">
        <v>133</v>
      </c>
      <c r="L23" s="16" t="s">
        <v>134</v>
      </c>
      <c r="M23" s="23">
        <v>2</v>
      </c>
      <c r="N23" s="24">
        <v>40195</v>
      </c>
      <c r="O23" s="25">
        <v>11</v>
      </c>
      <c r="P23" s="11"/>
    </row>
    <row r="24" spans="1:16" ht="24" customHeight="1">
      <c r="A24" s="1">
        <v>23</v>
      </c>
      <c r="B24" s="74" t="s">
        <v>17</v>
      </c>
      <c r="C24" s="12"/>
      <c r="D24" s="12"/>
      <c r="E24" s="13"/>
      <c r="F24" s="14"/>
      <c r="G24" s="13"/>
      <c r="H24" s="77"/>
      <c r="I24" s="1">
        <v>23</v>
      </c>
      <c r="J24" s="41" t="s">
        <v>17</v>
      </c>
      <c r="K24" s="16" t="s">
        <v>135</v>
      </c>
      <c r="L24" s="16" t="s">
        <v>136</v>
      </c>
      <c r="M24" s="23">
        <v>1</v>
      </c>
      <c r="N24" s="24">
        <v>40581</v>
      </c>
      <c r="O24" s="25">
        <v>13</v>
      </c>
      <c r="P24" s="11"/>
    </row>
    <row r="25" spans="1:16" ht="24" customHeight="1">
      <c r="A25" s="1">
        <v>24</v>
      </c>
      <c r="B25" s="74" t="s">
        <v>18</v>
      </c>
      <c r="C25" s="12"/>
      <c r="D25" s="12"/>
      <c r="E25" s="13"/>
      <c r="F25" s="14"/>
      <c r="G25" s="13"/>
      <c r="H25" s="77"/>
      <c r="I25" s="1">
        <v>24</v>
      </c>
      <c r="J25" s="41" t="s">
        <v>18</v>
      </c>
      <c r="K25" s="16" t="s">
        <v>137</v>
      </c>
      <c r="L25" s="16" t="s">
        <v>138</v>
      </c>
      <c r="M25" s="23">
        <v>2</v>
      </c>
      <c r="N25" s="24">
        <v>40161</v>
      </c>
      <c r="O25" s="25">
        <v>14</v>
      </c>
      <c r="P25" s="11"/>
    </row>
    <row r="26" spans="1:16" ht="24" customHeight="1">
      <c r="A26" s="1">
        <v>25</v>
      </c>
      <c r="B26" s="75" t="s">
        <v>19</v>
      </c>
      <c r="C26" s="15"/>
      <c r="D26" s="71"/>
      <c r="E26" s="71"/>
      <c r="F26" s="71"/>
      <c r="G26" s="71"/>
      <c r="H26" s="71"/>
      <c r="I26" s="1">
        <v>25</v>
      </c>
      <c r="J26" s="26" t="s">
        <v>19</v>
      </c>
      <c r="K26" s="27">
        <v>45850</v>
      </c>
      <c r="L26" s="11"/>
      <c r="M26" s="11"/>
      <c r="N26" s="11"/>
      <c r="O26" s="11"/>
      <c r="P26" s="11"/>
    </row>
    <row r="27" spans="1:16" ht="22.5" customHeight="1">
      <c r="A27" s="1">
        <v>26</v>
      </c>
      <c r="B27" s="103" t="s">
        <v>20</v>
      </c>
      <c r="C27" s="99"/>
      <c r="D27" s="100"/>
      <c r="E27" s="71"/>
      <c r="F27" s="71"/>
      <c r="G27" s="71"/>
      <c r="H27" s="71"/>
      <c r="I27" s="1">
        <v>26</v>
      </c>
      <c r="J27" s="104" t="s">
        <v>20</v>
      </c>
      <c r="K27" s="101" t="s">
        <v>142</v>
      </c>
      <c r="L27" s="102"/>
      <c r="M27" s="11"/>
      <c r="N27" s="11"/>
      <c r="O27" s="11"/>
      <c r="P27" s="11"/>
    </row>
    <row r="28" spans="1:16" ht="22.5" customHeight="1">
      <c r="A28" s="1">
        <v>27</v>
      </c>
      <c r="B28" s="103"/>
      <c r="C28" s="99"/>
      <c r="D28" s="100"/>
      <c r="E28" s="71"/>
      <c r="F28" s="71"/>
      <c r="G28" s="71"/>
      <c r="H28" s="71"/>
      <c r="I28" s="1">
        <v>27</v>
      </c>
      <c r="J28" s="104"/>
      <c r="K28" s="101"/>
      <c r="L28" s="102"/>
      <c r="M28" s="11"/>
      <c r="N28" s="11"/>
      <c r="O28" s="11"/>
      <c r="P28" s="11"/>
    </row>
    <row r="29" spans="1:16" ht="22.5" customHeight="1">
      <c r="A29" s="1">
        <v>28</v>
      </c>
      <c r="B29" s="103"/>
      <c r="C29" s="99"/>
      <c r="D29" s="100"/>
      <c r="E29" s="71"/>
      <c r="F29" s="71"/>
      <c r="G29" s="71"/>
      <c r="H29" s="71"/>
      <c r="I29" s="1">
        <v>28</v>
      </c>
      <c r="J29" s="104"/>
      <c r="K29" s="101"/>
      <c r="L29" s="102"/>
      <c r="M29" s="11"/>
      <c r="N29" s="11"/>
      <c r="O29" s="11"/>
      <c r="P29" s="11"/>
    </row>
    <row r="30" spans="1:16" ht="22.5" customHeight="1">
      <c r="A30" s="1">
        <v>29</v>
      </c>
      <c r="B30" s="103"/>
      <c r="C30" s="99"/>
      <c r="D30" s="100"/>
      <c r="E30" s="71"/>
      <c r="F30" s="71"/>
      <c r="G30" s="71"/>
      <c r="H30" s="71"/>
      <c r="I30" s="1">
        <v>29</v>
      </c>
      <c r="J30" s="104"/>
      <c r="K30" s="101"/>
      <c r="L30" s="102"/>
      <c r="M30" s="11"/>
      <c r="N30" s="11"/>
      <c r="O30" s="11"/>
      <c r="P30" s="11"/>
    </row>
    <row r="31" spans="1:16" ht="24" customHeight="1">
      <c r="A31" s="1">
        <v>30</v>
      </c>
      <c r="B31" s="75" t="s">
        <v>31</v>
      </c>
      <c r="C31" s="12"/>
      <c r="D31" s="12"/>
      <c r="E31" s="71"/>
      <c r="F31" s="71"/>
      <c r="G31" s="71"/>
      <c r="H31" s="71"/>
      <c r="I31" s="1">
        <v>30</v>
      </c>
      <c r="J31" s="17" t="s">
        <v>31</v>
      </c>
      <c r="K31" s="16" t="s">
        <v>143</v>
      </c>
      <c r="L31" s="16" t="s">
        <v>144</v>
      </c>
      <c r="M31" s="11"/>
      <c r="N31" s="11"/>
      <c r="O31" s="11"/>
      <c r="P31" s="11"/>
    </row>
    <row r="32" spans="1:16" ht="24" customHeight="1">
      <c r="A32" s="1">
        <v>31</v>
      </c>
      <c r="B32" s="75" t="s">
        <v>32</v>
      </c>
      <c r="C32" s="12"/>
      <c r="D32" s="12"/>
      <c r="E32" s="71"/>
      <c r="F32" s="71"/>
      <c r="G32" s="71"/>
      <c r="H32" s="71"/>
      <c r="I32" s="1">
        <v>31</v>
      </c>
      <c r="J32" s="17" t="s">
        <v>32</v>
      </c>
      <c r="K32" s="16" t="s">
        <v>145</v>
      </c>
      <c r="L32" s="16" t="s">
        <v>146</v>
      </c>
      <c r="M32" s="11"/>
      <c r="N32" s="11"/>
      <c r="O32" s="11"/>
      <c r="P32" s="11"/>
    </row>
    <row r="33" spans="1:16" ht="24" customHeight="1">
      <c r="A33" s="1">
        <v>32</v>
      </c>
      <c r="B33" s="75" t="s">
        <v>33</v>
      </c>
      <c r="C33" s="12"/>
      <c r="D33" s="12"/>
      <c r="E33" s="71"/>
      <c r="F33" s="71"/>
      <c r="G33" s="71"/>
      <c r="H33" s="71"/>
      <c r="I33" s="1">
        <v>32</v>
      </c>
      <c r="J33" s="17" t="s">
        <v>33</v>
      </c>
      <c r="K33" s="16" t="s">
        <v>149</v>
      </c>
      <c r="L33" s="16" t="s">
        <v>150</v>
      </c>
      <c r="M33" s="11"/>
      <c r="N33" s="11"/>
      <c r="O33" s="11"/>
      <c r="P33" s="11"/>
    </row>
    <row r="34" spans="1:16" ht="24" customHeight="1">
      <c r="A34" s="1">
        <v>33</v>
      </c>
      <c r="B34" s="75" t="s">
        <v>34</v>
      </c>
      <c r="C34" s="12"/>
      <c r="D34" s="12"/>
      <c r="E34" s="71"/>
      <c r="F34" s="71"/>
      <c r="G34" s="71"/>
      <c r="H34" s="71"/>
      <c r="I34" s="1">
        <v>33</v>
      </c>
      <c r="J34" s="17" t="s">
        <v>34</v>
      </c>
      <c r="K34" s="16" t="s">
        <v>147</v>
      </c>
      <c r="L34" s="16" t="s">
        <v>148</v>
      </c>
      <c r="M34" s="11"/>
      <c r="N34" s="11"/>
      <c r="O34" s="11"/>
      <c r="P34" s="11"/>
    </row>
    <row r="35" spans="1:16" ht="24" customHeight="1">
      <c r="A35" s="1">
        <v>34</v>
      </c>
      <c r="B35" s="75" t="s">
        <v>35</v>
      </c>
      <c r="C35" s="12"/>
      <c r="D35" s="12"/>
      <c r="E35" s="71"/>
      <c r="F35" s="71"/>
      <c r="G35" s="71"/>
      <c r="H35" s="71"/>
      <c r="I35" s="1">
        <v>34</v>
      </c>
      <c r="J35" s="17" t="s">
        <v>35</v>
      </c>
      <c r="K35" s="16"/>
      <c r="L35" s="16"/>
      <c r="M35" s="11"/>
      <c r="N35" s="11"/>
      <c r="O35" s="11"/>
      <c r="P35" s="11"/>
    </row>
    <row r="40" spans="1:16">
      <c r="C40" s="1" t="s">
        <v>151</v>
      </c>
      <c r="D40" s="1" t="s">
        <v>152</v>
      </c>
      <c r="E40" s="86" t="s">
        <v>153</v>
      </c>
    </row>
    <row r="41" spans="1:16">
      <c r="B41" s="87" t="s">
        <v>154</v>
      </c>
      <c r="C41" s="85"/>
      <c r="D41" s="85">
        <f>INDEX(C54:C55,MATCH(C3,B54:B55,0))</f>
        <v>2</v>
      </c>
      <c r="E41" s="85">
        <f>INDEX(C44:C51,MATCH(C4,B44:B51,0))</f>
        <v>8</v>
      </c>
      <c r="F41" s="85"/>
    </row>
    <row r="43" spans="1:16">
      <c r="B43" s="85" t="s">
        <v>155</v>
      </c>
      <c r="C43" s="85"/>
    </row>
    <row r="44" spans="1:16">
      <c r="B44" s="85" t="s">
        <v>156</v>
      </c>
      <c r="C44" s="85">
        <v>1</v>
      </c>
    </row>
    <row r="45" spans="1:16">
      <c r="B45" s="85" t="s">
        <v>157</v>
      </c>
      <c r="C45" s="85">
        <v>2</v>
      </c>
    </row>
    <row r="46" spans="1:16">
      <c r="B46" s="85" t="s">
        <v>158</v>
      </c>
      <c r="C46" s="85">
        <v>3</v>
      </c>
    </row>
    <row r="47" spans="1:16">
      <c r="B47" s="85" t="s">
        <v>159</v>
      </c>
      <c r="C47" s="85">
        <v>4</v>
      </c>
    </row>
    <row r="48" spans="1:16">
      <c r="B48" s="85" t="s">
        <v>160</v>
      </c>
      <c r="C48" s="85">
        <v>5</v>
      </c>
    </row>
    <row r="49" spans="2:3">
      <c r="B49" s="85" t="s">
        <v>161</v>
      </c>
      <c r="C49" s="85">
        <v>6</v>
      </c>
    </row>
    <row r="50" spans="2:3">
      <c r="B50" s="85" t="s">
        <v>162</v>
      </c>
      <c r="C50" s="85">
        <v>7</v>
      </c>
    </row>
    <row r="51" spans="2:3">
      <c r="B51" s="85" t="s">
        <v>163</v>
      </c>
      <c r="C51" s="85">
        <v>8</v>
      </c>
    </row>
    <row r="52" spans="2:3">
      <c r="B52" s="1" t="s">
        <v>164</v>
      </c>
    </row>
    <row r="54" spans="2:3">
      <c r="B54" s="85" t="s">
        <v>165</v>
      </c>
      <c r="C54" s="85">
        <v>1</v>
      </c>
    </row>
    <row r="55" spans="2:3">
      <c r="B55" s="85" t="s">
        <v>166</v>
      </c>
      <c r="C55" s="85">
        <v>2</v>
      </c>
    </row>
  </sheetData>
  <sheetProtection selectLockedCells="1"/>
  <mergeCells count="15">
    <mergeCell ref="C30:D30"/>
    <mergeCell ref="K30:L30"/>
    <mergeCell ref="B27:B30"/>
    <mergeCell ref="J27:J30"/>
    <mergeCell ref="C27:D27"/>
    <mergeCell ref="K27:L27"/>
    <mergeCell ref="C28:D28"/>
    <mergeCell ref="K28:L28"/>
    <mergeCell ref="C29:D29"/>
    <mergeCell ref="K29:L29"/>
    <mergeCell ref="B1:E1"/>
    <mergeCell ref="J1:M1"/>
    <mergeCell ref="E16:G16"/>
    <mergeCell ref="D14:G14"/>
    <mergeCell ref="D15:G15"/>
  </mergeCells>
  <phoneticPr fontId="15"/>
  <dataValidations count="3">
    <dataValidation type="list" allowBlank="1" showInputMessage="1" showErrorMessage="1" sqref="C3 K3" xr:uid="{00000000-0002-0000-0100-000000000000}">
      <formula1>"男子,女子"</formula1>
    </dataValidation>
    <dataValidation type="list" allowBlank="1" showInputMessage="1" showErrorMessage="1" sqref="C4" xr:uid="{00000000-0002-0000-0100-000001000000}">
      <formula1>"東京都,神奈川県,栃木県,茨城県,群馬県,千葉県,埼玉県,山梨県"</formula1>
    </dataValidation>
    <dataValidation type="list" allowBlank="1" showInputMessage="1" showErrorMessage="1" sqref="K4" xr:uid="{8C20286B-11A4-8D41-8374-DCB259B33962}">
      <formula1>"神奈川県,茨城県,東京都,栃木県,千葉県,山梨県,群馬県,埼玉県"</formula1>
    </dataValidation>
  </dataValidations>
  <printOptions horizontalCentered="1" verticalCentered="1"/>
  <pageMargins left="0.35433070866141736" right="0.23622047244094491" top="0.27559055118110237" bottom="0.23622047244094491" header="0.27559055118110237" footer="0.23622047244094491"/>
  <pageSetup paperSize="9" scale="67"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I40"/>
  <sheetViews>
    <sheetView showGridLines="0" tabSelected="1" showOutlineSymbols="0" workbookViewId="0">
      <selection activeCell="H3" sqref="H3"/>
    </sheetView>
  </sheetViews>
  <sheetFormatPr baseColWidth="10" defaultColWidth="9" defaultRowHeight="14"/>
  <cols>
    <col min="1" max="1" width="11.1640625" style="1" customWidth="1"/>
    <col min="2" max="3" width="8.6640625" style="1" customWidth="1"/>
    <col min="4" max="4" width="4.6640625" style="1" customWidth="1"/>
    <col min="5" max="5" width="12.5" style="1" customWidth="1"/>
    <col min="6" max="6" width="11.1640625" style="1" customWidth="1"/>
    <col min="7" max="7" width="8.1640625" style="1" customWidth="1"/>
    <col min="8" max="8" width="10.1640625" style="1" customWidth="1"/>
    <col min="9" max="9" width="14.33203125" style="1" customWidth="1"/>
    <col min="10" max="16384" width="9" style="1"/>
  </cols>
  <sheetData>
    <row r="1" spans="1:9" ht="28.25" customHeight="1">
      <c r="A1" s="115" t="s">
        <v>140</v>
      </c>
      <c r="B1" s="115"/>
      <c r="C1" s="115"/>
      <c r="D1" s="115"/>
      <c r="E1" s="115"/>
      <c r="F1" s="115"/>
      <c r="G1" s="115"/>
      <c r="H1" s="115"/>
      <c r="I1" s="115"/>
    </row>
    <row r="2" spans="1:9" ht="6.5" customHeight="1" thickBot="1">
      <c r="A2" s="47"/>
      <c r="B2" s="47"/>
      <c r="C2" s="47"/>
      <c r="D2" s="47"/>
      <c r="E2" s="47"/>
      <c r="F2" s="47"/>
      <c r="G2" s="47"/>
      <c r="H2" s="47"/>
      <c r="I2" s="47"/>
    </row>
    <row r="3" spans="1:9" ht="24" customHeight="1" thickBot="1">
      <c r="A3" s="55" t="s">
        <v>21</v>
      </c>
      <c r="B3" s="83" t="s">
        <v>92</v>
      </c>
      <c r="C3" s="84" t="str">
        <f>""&amp;VLOOKUP(1,入力,3)</f>
        <v>女子</v>
      </c>
      <c r="E3" s="2" t="s">
        <v>3</v>
      </c>
      <c r="F3" s="56" t="str">
        <f>""&amp;VLOOKUP(2,入力,3)</f>
        <v>埼玉県</v>
      </c>
      <c r="G3" s="48"/>
      <c r="I3" s="3" t="s">
        <v>102</v>
      </c>
    </row>
    <row r="4" spans="1:9" ht="18" customHeight="1">
      <c r="A4" s="4" t="s">
        <v>9</v>
      </c>
      <c r="B4" s="119" t="str">
        <f>"　"&amp;VLOOKUP(4,入力,4)&amp;VLOOKUP(4,入力,6)&amp;VLOOKUP(5,入力,4)</f>
        <v>　　</v>
      </c>
      <c r="C4" s="120"/>
      <c r="D4" s="120"/>
      <c r="E4" s="120"/>
      <c r="F4" s="120"/>
      <c r="G4" s="120"/>
      <c r="H4" s="120"/>
      <c r="I4" s="121"/>
    </row>
    <row r="5" spans="1:9" ht="27.5" customHeight="1">
      <c r="A5" s="5" t="s">
        <v>37</v>
      </c>
      <c r="B5" s="122" t="str">
        <f>" "&amp;VLOOKUP(4,入力,3)&amp;VLOOKUP(4,入力,5)&amp;VLOOKUP(5,入力,3)</f>
        <v xml:space="preserve"> 　</v>
      </c>
      <c r="C5" s="123"/>
      <c r="D5" s="123"/>
      <c r="E5" s="123"/>
      <c r="F5" s="123"/>
      <c r="G5" s="123"/>
      <c r="H5" s="123"/>
      <c r="I5" s="124"/>
    </row>
    <row r="6" spans="1:9" ht="24" customHeight="1">
      <c r="A6" s="143" t="s">
        <v>89</v>
      </c>
      <c r="B6" s="130" t="str">
        <f>" "&amp;VLOOKUP(6,入力,3)</f>
        <v xml:space="preserve"> </v>
      </c>
      <c r="C6" s="131"/>
      <c r="D6" s="131"/>
      <c r="E6" s="131"/>
      <c r="F6" s="157" t="s">
        <v>67</v>
      </c>
      <c r="G6" s="125" t="s">
        <v>68</v>
      </c>
      <c r="H6" s="126"/>
      <c r="I6" s="127"/>
    </row>
    <row r="7" spans="1:9" ht="24" customHeight="1">
      <c r="A7" s="144"/>
      <c r="B7" s="132"/>
      <c r="C7" s="133"/>
      <c r="D7" s="133"/>
      <c r="E7" s="133"/>
      <c r="F7" s="158"/>
      <c r="G7" s="128" t="str">
        <f>"TEL  "&amp;VLOOKUP(10,入力,3)</f>
        <v xml:space="preserve">TEL  </v>
      </c>
      <c r="H7" s="128"/>
      <c r="I7" s="129"/>
    </row>
    <row r="8" spans="1:9" ht="24" customHeight="1">
      <c r="A8" s="145"/>
      <c r="B8" s="134"/>
      <c r="C8" s="135"/>
      <c r="D8" s="135"/>
      <c r="E8" s="135"/>
      <c r="F8" s="159"/>
      <c r="G8" s="117" t="str">
        <f>"FAX  "&amp;VLOOKUP(11,入力,3)</f>
        <v xml:space="preserve">FAX  </v>
      </c>
      <c r="H8" s="117"/>
      <c r="I8" s="118"/>
    </row>
    <row r="9" spans="1:9" ht="17.25" customHeight="1">
      <c r="A9" s="146" t="s">
        <v>41</v>
      </c>
      <c r="B9" s="155" t="str">
        <f>"〒"&amp;VLOOKUP(7,入力,3)</f>
        <v>〒</v>
      </c>
      <c r="C9" s="156"/>
      <c r="D9" s="156"/>
      <c r="E9" s="153" t="str">
        <f>"(ふりがな)"&amp;VLOOKUP(8,入力,4)&amp;VLOOKUP(9,入力,4)</f>
        <v>(ふりがな)</v>
      </c>
      <c r="F9" s="153"/>
      <c r="G9" s="153"/>
      <c r="H9" s="153"/>
      <c r="I9" s="154"/>
    </row>
    <row r="10" spans="1:9" ht="25.25" customHeight="1">
      <c r="A10" s="146"/>
      <c r="B10" s="134" t="str">
        <f>" "&amp;VLOOKUP(2,入力,3)&amp;VLOOKUP(8,入力,3)&amp;VLOOKUP(9,入力,3)</f>
        <v xml:space="preserve"> 埼玉県</v>
      </c>
      <c r="C10" s="135"/>
      <c r="D10" s="135"/>
      <c r="E10" s="135"/>
      <c r="F10" s="135"/>
      <c r="G10" s="135"/>
      <c r="H10" s="135"/>
      <c r="I10" s="149"/>
    </row>
    <row r="11" spans="1:9" ht="22.5" customHeight="1">
      <c r="A11" s="6" t="s">
        <v>9</v>
      </c>
      <c r="B11" s="150" t="str">
        <f>"  "&amp;VLOOKUP(12,入力,4)</f>
        <v xml:space="preserve">  </v>
      </c>
      <c r="C11" s="151"/>
      <c r="D11" s="151"/>
      <c r="E11" s="152"/>
      <c r="F11" s="160" t="s">
        <v>45</v>
      </c>
      <c r="G11" s="117" t="str">
        <f>"自宅 "&amp;VLOOKUP(13,入力,3)</f>
        <v xml:space="preserve">自宅 </v>
      </c>
      <c r="H11" s="117"/>
      <c r="I11" s="118"/>
    </row>
    <row r="12" spans="1:9" ht="24" customHeight="1">
      <c r="A12" s="5" t="s">
        <v>4</v>
      </c>
      <c r="B12" s="136" t="str">
        <f>"  "&amp;VLOOKUP(12,入力,3)</f>
        <v xml:space="preserve">  </v>
      </c>
      <c r="C12" s="137"/>
      <c r="D12" s="137"/>
      <c r="E12" s="138"/>
      <c r="F12" s="161"/>
      <c r="G12" s="117" t="str">
        <f>"携帯 "&amp;VLOOKUP(14,入力,3)</f>
        <v xml:space="preserve">携帯 </v>
      </c>
      <c r="H12" s="117"/>
      <c r="I12" s="118"/>
    </row>
    <row r="13" spans="1:9" ht="24" customHeight="1">
      <c r="A13" s="49" t="s">
        <v>22</v>
      </c>
      <c r="B13" s="139" t="str">
        <f>"  "&amp;VLOOKUP(15,入力,3)</f>
        <v xml:space="preserve">  </v>
      </c>
      <c r="C13" s="140"/>
      <c r="D13" s="140"/>
      <c r="E13" s="141"/>
      <c r="F13" s="50" t="s">
        <v>49</v>
      </c>
      <c r="G13" s="139" t="str">
        <f>"  "&amp;VLOOKUP(15,入力,4)</f>
        <v xml:space="preserve">  </v>
      </c>
      <c r="H13" s="140"/>
      <c r="I13" s="142"/>
    </row>
    <row r="14" spans="1:9" ht="24" customHeight="1">
      <c r="A14" s="7" t="s">
        <v>48</v>
      </c>
      <c r="B14" s="113" t="s">
        <v>47</v>
      </c>
      <c r="C14" s="114"/>
      <c r="D14" s="8" t="s">
        <v>10</v>
      </c>
      <c r="E14" s="8" t="s">
        <v>23</v>
      </c>
      <c r="F14" s="9" t="s">
        <v>46</v>
      </c>
      <c r="G14" s="164" t="s">
        <v>43</v>
      </c>
      <c r="H14" s="165"/>
      <c r="I14" s="166"/>
    </row>
    <row r="15" spans="1:9" ht="12" customHeight="1">
      <c r="A15" s="6" t="s">
        <v>9</v>
      </c>
      <c r="B15" s="107" t="str">
        <f>" "&amp;VLOOKUP(17,入力,4)</f>
        <v xml:space="preserve"> </v>
      </c>
      <c r="C15" s="108"/>
      <c r="D15" s="147" t="str">
        <f>""&amp;VLOOKUP(17,入力,5)</f>
        <v/>
      </c>
      <c r="E15" s="173" t="str">
        <f>IF(VLOOKUP(17,入力,6)="","",VLOOKUP(17,入力,6))</f>
        <v/>
      </c>
      <c r="F15" s="116" t="str">
        <f>""&amp;VLOOKUP(17,入力,7)</f>
        <v/>
      </c>
      <c r="G15" s="53" t="s">
        <v>9</v>
      </c>
      <c r="H15" s="150" t="str">
        <f>"  "&amp;VLOOKUP(30,入力,4)</f>
        <v xml:space="preserve">  </v>
      </c>
      <c r="I15" s="167"/>
    </row>
    <row r="16" spans="1:9" ht="21" customHeight="1">
      <c r="A16" s="5">
        <v>1</v>
      </c>
      <c r="B16" s="109" t="str">
        <f>" "&amp;VLOOKUP(17,入力,3)</f>
        <v xml:space="preserve"> </v>
      </c>
      <c r="C16" s="110"/>
      <c r="D16" s="148"/>
      <c r="E16" s="174"/>
      <c r="F16" s="109"/>
      <c r="G16" s="54">
        <v>1</v>
      </c>
      <c r="H16" s="109" t="str">
        <f>"  "&amp;VLOOKUP(30,入力,3)</f>
        <v xml:space="preserve">  </v>
      </c>
      <c r="I16" s="162"/>
    </row>
    <row r="17" spans="1:9" ht="12" customHeight="1">
      <c r="A17" s="6" t="s">
        <v>9</v>
      </c>
      <c r="B17" s="107" t="str">
        <f>" "&amp;VLOOKUP(18,入力,4)</f>
        <v xml:space="preserve"> </v>
      </c>
      <c r="C17" s="108"/>
      <c r="D17" s="147" t="str">
        <f>""&amp;VLOOKUP(18,入力,5)</f>
        <v/>
      </c>
      <c r="E17" s="173" t="str">
        <f>IF(VLOOKUP(18,入力,6)="","",VLOOKUP(18,入力,6))</f>
        <v/>
      </c>
      <c r="F17" s="116" t="str">
        <f>""&amp;VLOOKUP(18,入力,7)</f>
        <v/>
      </c>
      <c r="G17" s="53" t="s">
        <v>9</v>
      </c>
      <c r="H17" s="187" t="str">
        <f>"  "&amp;VLOOKUP(31,入力,4)</f>
        <v xml:space="preserve">  </v>
      </c>
      <c r="I17" s="188"/>
    </row>
    <row r="18" spans="1:9" ht="21" customHeight="1">
      <c r="A18" s="5">
        <v>2</v>
      </c>
      <c r="B18" s="109" t="str">
        <f>" "&amp;VLOOKUP(18,入力,3)</f>
        <v xml:space="preserve"> </v>
      </c>
      <c r="C18" s="110"/>
      <c r="D18" s="148"/>
      <c r="E18" s="174"/>
      <c r="F18" s="109"/>
      <c r="G18" s="54">
        <v>2</v>
      </c>
      <c r="H18" s="105" t="str">
        <f>"  "&amp;VLOOKUP(31,入力,3)</f>
        <v xml:space="preserve">  </v>
      </c>
      <c r="I18" s="163"/>
    </row>
    <row r="19" spans="1:9" ht="12" customHeight="1">
      <c r="A19" s="6" t="s">
        <v>9</v>
      </c>
      <c r="B19" s="111" t="str">
        <f>" "&amp;VLOOKUP(19,入力,4)</f>
        <v xml:space="preserve"> </v>
      </c>
      <c r="C19" s="112"/>
      <c r="D19" s="147" t="str">
        <f>""&amp;VLOOKUP(19,入力,5)</f>
        <v/>
      </c>
      <c r="E19" s="173" t="str">
        <f>IF(VLOOKUP(19,入力,6)="","",VLOOKUP(19,入力,6))</f>
        <v/>
      </c>
      <c r="F19" s="116" t="str">
        <f>""&amp;VLOOKUP(19,入力,7)</f>
        <v/>
      </c>
      <c r="G19" s="53" t="s">
        <v>9</v>
      </c>
      <c r="H19" s="189" t="str">
        <f>"  "&amp;VLOOKUP(32,入力,4)</f>
        <v xml:space="preserve">  </v>
      </c>
      <c r="I19" s="190"/>
    </row>
    <row r="20" spans="1:9" ht="21" customHeight="1">
      <c r="A20" s="5">
        <v>3</v>
      </c>
      <c r="B20" s="105" t="str">
        <f>" "&amp;VLOOKUP(19,入力,3)</f>
        <v xml:space="preserve"> </v>
      </c>
      <c r="C20" s="106"/>
      <c r="D20" s="148"/>
      <c r="E20" s="174"/>
      <c r="F20" s="109"/>
      <c r="G20" s="54">
        <v>3</v>
      </c>
      <c r="H20" s="109" t="str">
        <f>"  "&amp;VLOOKUP(32,入力,3)</f>
        <v xml:space="preserve">  </v>
      </c>
      <c r="I20" s="162"/>
    </row>
    <row r="21" spans="1:9" ht="12" customHeight="1">
      <c r="A21" s="6" t="s">
        <v>9</v>
      </c>
      <c r="B21" s="107" t="str">
        <f>" "&amp;VLOOKUP(20,入力,4)</f>
        <v xml:space="preserve"> </v>
      </c>
      <c r="C21" s="108"/>
      <c r="D21" s="147" t="str">
        <f>""&amp;VLOOKUP(20,入力,5)</f>
        <v/>
      </c>
      <c r="E21" s="173" t="str">
        <f>IF(VLOOKUP(20,入力,6)="","",VLOOKUP(20,入力,6))</f>
        <v/>
      </c>
      <c r="F21" s="116" t="str">
        <f>""&amp;VLOOKUP(20,入力,7)</f>
        <v/>
      </c>
      <c r="G21" s="53" t="s">
        <v>9</v>
      </c>
      <c r="H21" s="187" t="str">
        <f>"  "&amp;VLOOKUP(33,入力,4)</f>
        <v xml:space="preserve">  </v>
      </c>
      <c r="I21" s="188"/>
    </row>
    <row r="22" spans="1:9" ht="21" customHeight="1">
      <c r="A22" s="5">
        <v>4</v>
      </c>
      <c r="B22" s="109" t="str">
        <f>" "&amp;VLOOKUP(20,入力,3)</f>
        <v xml:space="preserve"> </v>
      </c>
      <c r="C22" s="110"/>
      <c r="D22" s="148"/>
      <c r="E22" s="174"/>
      <c r="F22" s="109"/>
      <c r="G22" s="54">
        <v>4</v>
      </c>
      <c r="H22" s="105" t="str">
        <f>"  "&amp;VLOOKUP(33,入力,3)</f>
        <v xml:space="preserve">  </v>
      </c>
      <c r="I22" s="163"/>
    </row>
    <row r="23" spans="1:9" ht="12" customHeight="1">
      <c r="A23" s="6" t="s">
        <v>9</v>
      </c>
      <c r="B23" s="111" t="str">
        <f>" "&amp;VLOOKUP(21,入力,4)</f>
        <v xml:space="preserve"> </v>
      </c>
      <c r="C23" s="112"/>
      <c r="D23" s="147" t="str">
        <f>""&amp;VLOOKUP(21,入力,5)</f>
        <v/>
      </c>
      <c r="E23" s="173" t="str">
        <f>IF(VLOOKUP(21,入力,6)="","",VLOOKUP(21,入力,6))</f>
        <v/>
      </c>
      <c r="F23" s="116" t="str">
        <f>""&amp;VLOOKUP(21,入力,7)</f>
        <v/>
      </c>
      <c r="G23" s="53" t="s">
        <v>9</v>
      </c>
      <c r="H23" s="189" t="str">
        <f>"  "&amp;VLOOKUP(34,入力,4)</f>
        <v xml:space="preserve">  </v>
      </c>
      <c r="I23" s="190"/>
    </row>
    <row r="24" spans="1:9" ht="21" customHeight="1">
      <c r="A24" s="5">
        <v>5</v>
      </c>
      <c r="B24" s="105" t="str">
        <f>" "&amp;VLOOKUP(21,入力,3)</f>
        <v xml:space="preserve"> </v>
      </c>
      <c r="C24" s="106"/>
      <c r="D24" s="148"/>
      <c r="E24" s="174"/>
      <c r="F24" s="109"/>
      <c r="G24" s="54">
        <v>5</v>
      </c>
      <c r="H24" s="109" t="str">
        <f>"  "&amp;VLOOKUP(34,入力,3)</f>
        <v xml:space="preserve">  </v>
      </c>
      <c r="I24" s="162"/>
    </row>
    <row r="25" spans="1:9" ht="12" customHeight="1">
      <c r="A25" s="6" t="s">
        <v>9</v>
      </c>
      <c r="B25" s="107" t="str">
        <f>" "&amp;VLOOKUP(22,入力,4)</f>
        <v xml:space="preserve"> </v>
      </c>
      <c r="C25" s="108"/>
      <c r="D25" s="147" t="str">
        <f>""&amp;VLOOKUP(22,入力,5)</f>
        <v/>
      </c>
      <c r="E25" s="173" t="str">
        <f>IF(VLOOKUP(22,入力,6)="","",VLOOKUP(22,入力,6))</f>
        <v/>
      </c>
      <c r="F25" s="147" t="str">
        <f>""&amp;VLOOKUP(22,入力,7)</f>
        <v/>
      </c>
      <c r="G25" s="178" t="s">
        <v>44</v>
      </c>
      <c r="H25" s="179"/>
      <c r="I25" s="180"/>
    </row>
    <row r="26" spans="1:9" ht="21" customHeight="1">
      <c r="A26" s="5">
        <v>6</v>
      </c>
      <c r="B26" s="109" t="str">
        <f>" "&amp;VLOOKUP(22,入力,3)</f>
        <v xml:space="preserve"> </v>
      </c>
      <c r="C26" s="110"/>
      <c r="D26" s="148"/>
      <c r="E26" s="174"/>
      <c r="F26" s="148"/>
      <c r="G26" s="181"/>
      <c r="H26" s="182"/>
      <c r="I26" s="183"/>
    </row>
    <row r="27" spans="1:9" ht="12" customHeight="1">
      <c r="A27" s="6" t="s">
        <v>9</v>
      </c>
      <c r="B27" s="111" t="str">
        <f>" "&amp;VLOOKUP(23,入力,4)</f>
        <v xml:space="preserve"> </v>
      </c>
      <c r="C27" s="112"/>
      <c r="D27" s="147" t="str">
        <f>""&amp;VLOOKUP(23,入力,5)</f>
        <v/>
      </c>
      <c r="E27" s="173" t="str">
        <f>IF(VLOOKUP(23,入力,6)="","",VLOOKUP(23,入力,6))</f>
        <v/>
      </c>
      <c r="F27" s="147" t="str">
        <f>""&amp;VLOOKUP(23,入力,7)</f>
        <v/>
      </c>
      <c r="G27" s="181"/>
      <c r="H27" s="182"/>
      <c r="I27" s="183"/>
    </row>
    <row r="28" spans="1:9" ht="21" customHeight="1">
      <c r="A28" s="5">
        <v>7</v>
      </c>
      <c r="B28" s="105" t="str">
        <f>" "&amp;VLOOKUP(23,入力,3)</f>
        <v xml:space="preserve"> </v>
      </c>
      <c r="C28" s="106"/>
      <c r="D28" s="148"/>
      <c r="E28" s="174"/>
      <c r="F28" s="148"/>
      <c r="G28" s="181"/>
      <c r="H28" s="182"/>
      <c r="I28" s="183"/>
    </row>
    <row r="29" spans="1:9" ht="11.5" customHeight="1">
      <c r="A29" s="6" t="s">
        <v>9</v>
      </c>
      <c r="B29" s="107" t="str">
        <f>" "&amp;VLOOKUP(24,入力,4)</f>
        <v xml:space="preserve"> </v>
      </c>
      <c r="C29" s="108"/>
      <c r="D29" s="147" t="str">
        <f>""&amp;VLOOKUP(24,入力,5)</f>
        <v/>
      </c>
      <c r="E29" s="173" t="str">
        <f>IF(VLOOKUP(24,入力,6)="","",VLOOKUP(24,入力,6))</f>
        <v/>
      </c>
      <c r="F29" s="147" t="str">
        <f>""&amp;VLOOKUP(24,入力,7)</f>
        <v/>
      </c>
      <c r="G29" s="181"/>
      <c r="H29" s="182"/>
      <c r="I29" s="183"/>
    </row>
    <row r="30" spans="1:9" ht="21" customHeight="1">
      <c r="A30" s="5">
        <v>8</v>
      </c>
      <c r="B30" s="109" t="str">
        <f>" "&amp;VLOOKUP(24,入力,3)</f>
        <v xml:space="preserve"> </v>
      </c>
      <c r="C30" s="110"/>
      <c r="D30" s="148"/>
      <c r="E30" s="174"/>
      <c r="F30" s="148"/>
      <c r="G30" s="184"/>
      <c r="H30" s="185"/>
      <c r="I30" s="186"/>
    </row>
    <row r="31" spans="1:9" ht="48.5" customHeight="1">
      <c r="A31" s="175" t="s">
        <v>90</v>
      </c>
      <c r="B31" s="176"/>
      <c r="C31" s="176"/>
      <c r="D31" s="176"/>
      <c r="E31" s="176"/>
      <c r="F31" s="176"/>
      <c r="G31" s="176"/>
      <c r="H31" s="176"/>
      <c r="I31" s="177"/>
    </row>
    <row r="32" spans="1:9" ht="49.25" customHeight="1" thickBot="1">
      <c r="A32" s="168" t="str">
        <f>" "&amp;VLOOKUP(26,入力,3)&amp;"
 "&amp;VLOOKUP(27,入力,3)&amp;"
 "&amp;VLOOKUP(28,入力,3)&amp;"
 "&amp;VLOOKUP(29,入力,3)</f>
        <v xml:space="preserve"> 
 </v>
      </c>
      <c r="B32" s="169"/>
      <c r="C32" s="169"/>
      <c r="D32" s="169"/>
      <c r="E32" s="169"/>
      <c r="F32" s="169"/>
      <c r="G32" s="169"/>
      <c r="H32" s="169"/>
      <c r="I32" s="170"/>
    </row>
    <row r="33" spans="1:9" ht="45.5" customHeight="1">
      <c r="A33" s="171" t="s">
        <v>81</v>
      </c>
      <c r="B33" s="171"/>
      <c r="C33" s="171"/>
      <c r="D33" s="171"/>
      <c r="E33" s="171"/>
      <c r="F33" s="171"/>
      <c r="G33" s="171"/>
      <c r="H33" s="171"/>
      <c r="I33" s="171"/>
    </row>
    <row r="34" spans="1:9" ht="6.5" customHeight="1"/>
    <row r="35" spans="1:9" ht="18" customHeight="1">
      <c r="A35" s="51" t="s">
        <v>50</v>
      </c>
      <c r="B35" s="51"/>
      <c r="C35" s="51"/>
      <c r="F35" s="172" t="str">
        <f>IF(VLOOKUP(25,入力,3)="","令和７年　　月　　日",VLOOKUP(25,入力,3))</f>
        <v>令和７年　　月　　日</v>
      </c>
      <c r="G35" s="172"/>
      <c r="H35" s="172"/>
      <c r="I35" s="10"/>
    </row>
    <row r="36" spans="1:9" ht="6.75" customHeight="1"/>
    <row r="37" spans="1:9" ht="15">
      <c r="A37" s="52" t="s">
        <v>51</v>
      </c>
      <c r="B37" s="57" t="s">
        <v>118</v>
      </c>
      <c r="C37" s="57"/>
      <c r="D37" s="58"/>
      <c r="E37" s="57" t="s">
        <v>99</v>
      </c>
      <c r="F37" s="58"/>
      <c r="G37" s="58"/>
      <c r="H37" s="59"/>
      <c r="I37" s="60"/>
    </row>
    <row r="38" spans="1:9" ht="15">
      <c r="A38" s="61"/>
      <c r="B38" s="51"/>
      <c r="C38" s="51"/>
      <c r="D38" s="51"/>
      <c r="E38" s="51" t="s">
        <v>100</v>
      </c>
      <c r="F38" s="51"/>
      <c r="G38" s="51"/>
      <c r="I38" s="43"/>
    </row>
    <row r="39" spans="1:9" ht="15">
      <c r="A39" s="61"/>
      <c r="B39" s="51" t="s">
        <v>97</v>
      </c>
      <c r="C39" s="51"/>
      <c r="I39" s="43"/>
    </row>
    <row r="40" spans="1:9" ht="20">
      <c r="A40" s="62"/>
      <c r="B40" s="63" t="s">
        <v>101</v>
      </c>
      <c r="C40" s="63"/>
      <c r="D40" s="64"/>
      <c r="E40" s="64"/>
      <c r="F40" s="64"/>
      <c r="G40" s="64"/>
      <c r="H40" s="64"/>
      <c r="I40" s="44"/>
    </row>
  </sheetData>
  <sheetProtection selectLockedCells="1"/>
  <mergeCells count="77">
    <mergeCell ref="A31:I31"/>
    <mergeCell ref="E15:E16"/>
    <mergeCell ref="E17:E18"/>
    <mergeCell ref="E19:E20"/>
    <mergeCell ref="E25:E26"/>
    <mergeCell ref="E27:E28"/>
    <mergeCell ref="E29:E30"/>
    <mergeCell ref="G25:I30"/>
    <mergeCell ref="H21:I21"/>
    <mergeCell ref="H23:I23"/>
    <mergeCell ref="H17:I17"/>
    <mergeCell ref="H19:I19"/>
    <mergeCell ref="B19:C19"/>
    <mergeCell ref="B20:C20"/>
    <mergeCell ref="B21:C21"/>
    <mergeCell ref="B22:C22"/>
    <mergeCell ref="A32:I32"/>
    <mergeCell ref="A33:I33"/>
    <mergeCell ref="H22:I22"/>
    <mergeCell ref="H24:I24"/>
    <mergeCell ref="F35:H35"/>
    <mergeCell ref="D21:D22"/>
    <mergeCell ref="D23:D24"/>
    <mergeCell ref="D25:D26"/>
    <mergeCell ref="D27:D28"/>
    <mergeCell ref="D29:D30"/>
    <mergeCell ref="F23:F24"/>
    <mergeCell ref="F25:F26"/>
    <mergeCell ref="F27:F28"/>
    <mergeCell ref="F29:F30"/>
    <mergeCell ref="E21:E22"/>
    <mergeCell ref="E23:E24"/>
    <mergeCell ref="A6:A8"/>
    <mergeCell ref="A9:A10"/>
    <mergeCell ref="D15:D16"/>
    <mergeCell ref="D17:D18"/>
    <mergeCell ref="D19:D20"/>
    <mergeCell ref="B10:I10"/>
    <mergeCell ref="B11:E11"/>
    <mergeCell ref="E9:I9"/>
    <mergeCell ref="B9:D9"/>
    <mergeCell ref="F6:F8"/>
    <mergeCell ref="F11:F12"/>
    <mergeCell ref="H16:I16"/>
    <mergeCell ref="H18:I18"/>
    <mergeCell ref="H20:I20"/>
    <mergeCell ref="G14:I14"/>
    <mergeCell ref="H15:I15"/>
    <mergeCell ref="A1:I1"/>
    <mergeCell ref="F15:F16"/>
    <mergeCell ref="F17:F18"/>
    <mergeCell ref="F19:F20"/>
    <mergeCell ref="F21:F22"/>
    <mergeCell ref="G11:I11"/>
    <mergeCell ref="B4:I4"/>
    <mergeCell ref="B5:I5"/>
    <mergeCell ref="G6:I6"/>
    <mergeCell ref="G7:I7"/>
    <mergeCell ref="B6:E8"/>
    <mergeCell ref="B12:E12"/>
    <mergeCell ref="G12:I12"/>
    <mergeCell ref="B13:E13"/>
    <mergeCell ref="G13:I13"/>
    <mergeCell ref="G8:I8"/>
    <mergeCell ref="B14:C14"/>
    <mergeCell ref="B15:C15"/>
    <mergeCell ref="B16:C16"/>
    <mergeCell ref="B17:C17"/>
    <mergeCell ref="B18:C18"/>
    <mergeCell ref="B28:C28"/>
    <mergeCell ref="B29:C29"/>
    <mergeCell ref="B30:C30"/>
    <mergeCell ref="B23:C23"/>
    <mergeCell ref="B24:C24"/>
    <mergeCell ref="B25:C25"/>
    <mergeCell ref="B26:C26"/>
    <mergeCell ref="B27:C27"/>
  </mergeCells>
  <phoneticPr fontId="15"/>
  <printOptions horizontalCentered="1" verticalCentered="1"/>
  <pageMargins left="0.62992125984251968" right="0.55118110236220474" top="0.47244094488188981" bottom="0.51181102362204722"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I40"/>
  <sheetViews>
    <sheetView showOutlineSymbols="0" topLeftCell="A20" zoomScaleNormal="100" workbookViewId="0">
      <selection activeCell="B16" sqref="B16:C16"/>
    </sheetView>
  </sheetViews>
  <sheetFormatPr baseColWidth="10" defaultColWidth="9" defaultRowHeight="14"/>
  <cols>
    <col min="1" max="1" width="11.1640625" style="1" customWidth="1"/>
    <col min="2" max="3" width="8.6640625" style="1" customWidth="1"/>
    <col min="4" max="4" width="4.6640625" style="1" customWidth="1"/>
    <col min="5" max="5" width="12.5" style="1" customWidth="1"/>
    <col min="6" max="6" width="11.1640625" style="1" customWidth="1"/>
    <col min="7" max="7" width="8.1640625" style="1" customWidth="1"/>
    <col min="8" max="8" width="10.1640625" style="1" customWidth="1"/>
    <col min="9" max="9" width="14.33203125" style="1" customWidth="1"/>
    <col min="10" max="16384" width="9" style="1"/>
  </cols>
  <sheetData>
    <row r="1" spans="1:9" ht="28.25" customHeight="1">
      <c r="A1" s="115" t="str">
        <f>印刷用!A1</f>
        <v>第５３回 関東中学校卓球大会参加申込書</v>
      </c>
      <c r="B1" s="115"/>
      <c r="C1" s="115"/>
      <c r="D1" s="115"/>
      <c r="E1" s="115"/>
      <c r="F1" s="115"/>
      <c r="G1" s="115"/>
      <c r="H1" s="115"/>
      <c r="I1" s="115"/>
    </row>
    <row r="2" spans="1:9" ht="6.5" customHeight="1" thickBot="1">
      <c r="A2" s="47"/>
      <c r="B2" s="47"/>
      <c r="C2" s="47"/>
      <c r="D2" s="47"/>
      <c r="E2" s="47"/>
      <c r="F2" s="47"/>
      <c r="G2" s="47"/>
      <c r="H2" s="47"/>
      <c r="I2" s="47"/>
    </row>
    <row r="3" spans="1:9" ht="24" customHeight="1" thickBot="1">
      <c r="A3" s="55" t="s">
        <v>21</v>
      </c>
      <c r="B3" s="83" t="s">
        <v>92</v>
      </c>
      <c r="C3" s="55" t="str">
        <f>""&amp;VLOOKUP(1,サンプル,3)</f>
        <v>女子</v>
      </c>
      <c r="E3" s="2" t="s">
        <v>3</v>
      </c>
      <c r="F3" s="56" t="str">
        <f>""&amp;VLOOKUP(2,サンプル,3)</f>
        <v>埼玉県</v>
      </c>
      <c r="G3" s="48"/>
      <c r="I3" s="3" t="s">
        <v>103</v>
      </c>
    </row>
    <row r="4" spans="1:9" ht="18" customHeight="1">
      <c r="A4" s="4" t="s">
        <v>9</v>
      </c>
      <c r="B4" s="191" t="str">
        <f>"　"&amp;VLOOKUP(4,サンプル,4)&amp;VLOOKUP(4,サンプル,6)&amp;VLOOKUP(5,サンプル,4)</f>
        <v>　さいたましりつ　さいたまかんとうちゅうがっこう</v>
      </c>
      <c r="C4" s="192"/>
      <c r="D4" s="192"/>
      <c r="E4" s="192"/>
      <c r="F4" s="192"/>
      <c r="G4" s="192"/>
      <c r="H4" s="192"/>
      <c r="I4" s="193"/>
    </row>
    <row r="5" spans="1:9" ht="27.5" customHeight="1">
      <c r="A5" s="5" t="s">
        <v>37</v>
      </c>
      <c r="B5" s="122" t="str">
        <f>" "&amp;VLOOKUP(4,サンプル,3)&amp;VLOOKUP(4,サンプル,5)&amp;VLOOKUP(5,サンプル,3)</f>
        <v xml:space="preserve"> さいたま市立　さいたま関東中学校</v>
      </c>
      <c r="C5" s="123"/>
      <c r="D5" s="123"/>
      <c r="E5" s="123"/>
      <c r="F5" s="123"/>
      <c r="G5" s="123"/>
      <c r="H5" s="123"/>
      <c r="I5" s="124"/>
    </row>
    <row r="6" spans="1:9" ht="24" customHeight="1">
      <c r="A6" s="143" t="s">
        <v>89</v>
      </c>
      <c r="B6" s="130" t="str">
        <f>" "&amp;VLOOKUP(6,サンプル,3)</f>
        <v xml:space="preserve"> 埼玉　一郎</v>
      </c>
      <c r="C6" s="131"/>
      <c r="D6" s="131"/>
      <c r="E6" s="131"/>
      <c r="F6" s="157" t="s">
        <v>67</v>
      </c>
      <c r="G6" s="125" t="s">
        <v>68</v>
      </c>
      <c r="H6" s="126"/>
      <c r="I6" s="127"/>
    </row>
    <row r="7" spans="1:9" ht="24" customHeight="1">
      <c r="A7" s="144"/>
      <c r="B7" s="132"/>
      <c r="C7" s="133"/>
      <c r="D7" s="133"/>
      <c r="E7" s="133"/>
      <c r="F7" s="158"/>
      <c r="G7" s="128" t="str">
        <f>"TEL  "&amp;VLOOKUP(10,サンプル,3)</f>
        <v>TEL  ０４８－８３１－＊＊＊＊</v>
      </c>
      <c r="H7" s="128"/>
      <c r="I7" s="129"/>
    </row>
    <row r="8" spans="1:9" ht="24" customHeight="1">
      <c r="A8" s="145"/>
      <c r="B8" s="134"/>
      <c r="C8" s="135"/>
      <c r="D8" s="135"/>
      <c r="E8" s="135"/>
      <c r="F8" s="159"/>
      <c r="G8" s="117" t="str">
        <f>"FAX  "&amp;VLOOKUP(11,サンプル,3)</f>
        <v>FAX  ０４８－８３１－＊＊＊＊</v>
      </c>
      <c r="H8" s="117"/>
      <c r="I8" s="118"/>
    </row>
    <row r="9" spans="1:9" ht="17.25" customHeight="1">
      <c r="A9" s="146" t="s">
        <v>41</v>
      </c>
      <c r="B9" s="155" t="str">
        <f>"〒"&amp;VLOOKUP(7,サンプル,3)</f>
        <v>〒３３０－００００</v>
      </c>
      <c r="C9" s="156"/>
      <c r="D9" s="156"/>
      <c r="E9" s="153" t="str">
        <f>"(ふりがな)"&amp;VLOOKUP(8,サンプル,4)&amp;VLOOKUP(9,サンプル,4)</f>
        <v>(ふりがな)さいたましうらわくはりがや</v>
      </c>
      <c r="F9" s="153"/>
      <c r="G9" s="153"/>
      <c r="H9" s="153"/>
      <c r="I9" s="154"/>
    </row>
    <row r="10" spans="1:9" ht="25.25" customHeight="1">
      <c r="A10" s="146"/>
      <c r="B10" s="134" t="str">
        <f>" "&amp;VLOOKUP(2,サンプル,3)&amp;VLOOKUP(8,サンプル,3)&amp;VLOOKUP(9,サンプル,3)</f>
        <v xml:space="preserve"> 埼玉県さいたま市浦和区針谷０００−０</v>
      </c>
      <c r="C10" s="135"/>
      <c r="D10" s="135"/>
      <c r="E10" s="135"/>
      <c r="F10" s="135"/>
      <c r="G10" s="135"/>
      <c r="H10" s="135"/>
      <c r="I10" s="149"/>
    </row>
    <row r="11" spans="1:9" ht="22.5" customHeight="1">
      <c r="A11" s="6" t="s">
        <v>9</v>
      </c>
      <c r="B11" s="150" t="str">
        <f>"  "&amp;VLOOKUP(12,サンプル,4)</f>
        <v xml:space="preserve">  おおみや　みその</v>
      </c>
      <c r="C11" s="151"/>
      <c r="D11" s="151"/>
      <c r="E11" s="152"/>
      <c r="F11" s="160" t="s">
        <v>45</v>
      </c>
      <c r="G11" s="117" t="str">
        <f>"自宅 "&amp;VLOOKUP(13,サンプル,3)</f>
        <v>自宅 ０４８－８３１－＊＊＊＊</v>
      </c>
      <c r="H11" s="117"/>
      <c r="I11" s="118"/>
    </row>
    <row r="12" spans="1:9" ht="24" customHeight="1">
      <c r="A12" s="5" t="s">
        <v>4</v>
      </c>
      <c r="B12" s="136" t="str">
        <f>"  "&amp;VLOOKUP(12,サンプル,3)</f>
        <v xml:space="preserve">  大宮　美園</v>
      </c>
      <c r="C12" s="137"/>
      <c r="D12" s="137"/>
      <c r="E12" s="138"/>
      <c r="F12" s="161"/>
      <c r="G12" s="117" t="str">
        <f>"携帯 "&amp;VLOOKUP(14,サンプル,3)</f>
        <v>携帯 ０９０－＊＊＊＊－＊＊＊＊</v>
      </c>
      <c r="H12" s="117"/>
      <c r="I12" s="118"/>
    </row>
    <row r="13" spans="1:9" ht="24" customHeight="1">
      <c r="A13" s="49" t="s">
        <v>22</v>
      </c>
      <c r="B13" s="139" t="str">
        <f>"  "&amp;VLOOKUP(15,サンプル,3)</f>
        <v xml:space="preserve">  川口　一郎</v>
      </c>
      <c r="C13" s="140"/>
      <c r="D13" s="140"/>
      <c r="E13" s="141"/>
      <c r="F13" s="50" t="s">
        <v>49</v>
      </c>
      <c r="G13" s="139" t="str">
        <f>"  "&amp;VLOOKUP(15,サンプル,4)</f>
        <v xml:space="preserve">  さいたま第一中学校</v>
      </c>
      <c r="H13" s="140"/>
      <c r="I13" s="142"/>
    </row>
    <row r="14" spans="1:9" ht="24" customHeight="1">
      <c r="A14" s="7" t="s">
        <v>48</v>
      </c>
      <c r="B14" s="113" t="s">
        <v>47</v>
      </c>
      <c r="C14" s="114"/>
      <c r="D14" s="8" t="s">
        <v>10</v>
      </c>
      <c r="E14" s="8" t="s">
        <v>23</v>
      </c>
      <c r="F14" s="9" t="s">
        <v>46</v>
      </c>
      <c r="G14" s="164" t="s">
        <v>43</v>
      </c>
      <c r="H14" s="165"/>
      <c r="I14" s="166"/>
    </row>
    <row r="15" spans="1:9" ht="12" customHeight="1">
      <c r="A15" s="6" t="s">
        <v>9</v>
      </c>
      <c r="B15" s="111" t="str">
        <f>" "&amp;VLOOKUP(17,サンプル,4)</f>
        <v xml:space="preserve"> こうのす　あやこ</v>
      </c>
      <c r="C15" s="112"/>
      <c r="D15" s="147" t="str">
        <f>""&amp;VLOOKUP(17,サンプル,5)</f>
        <v>3</v>
      </c>
      <c r="E15" s="173">
        <f>IF(VLOOKUP(17,サンプル,6)="","",VLOOKUP(17,サンプル,6))</f>
        <v>40219</v>
      </c>
      <c r="F15" s="147" t="str">
        <f>""&amp;VLOOKUP(17,サンプル,7)</f>
        <v>3</v>
      </c>
      <c r="G15" s="53" t="s">
        <v>9</v>
      </c>
      <c r="H15" s="150" t="str">
        <f>"  "&amp;VLOOKUP(30,サンプル,4)</f>
        <v xml:space="preserve">  わこう　はるき　</v>
      </c>
      <c r="I15" s="167"/>
    </row>
    <row r="16" spans="1:9" ht="21" customHeight="1">
      <c r="A16" s="5">
        <v>1</v>
      </c>
      <c r="B16" s="105" t="str">
        <f>" "&amp;VLOOKUP(17,サンプル,3)</f>
        <v xml:space="preserve"> 鴻巣　綾子</v>
      </c>
      <c r="C16" s="106"/>
      <c r="D16" s="148"/>
      <c r="E16" s="174"/>
      <c r="F16" s="148"/>
      <c r="G16" s="54">
        <v>1</v>
      </c>
      <c r="H16" s="109" t="str">
        <f>"  "&amp;VLOOKUP(30,サンプル,3)</f>
        <v xml:space="preserve">  和光　春樹</v>
      </c>
      <c r="I16" s="162"/>
    </row>
    <row r="17" spans="1:9" ht="12" customHeight="1">
      <c r="A17" s="6" t="s">
        <v>9</v>
      </c>
      <c r="B17" s="107" t="str">
        <f>" "&amp;VLOOKUP(18,サンプル,4)</f>
        <v xml:space="preserve"> あげお　かすみ</v>
      </c>
      <c r="C17" s="108"/>
      <c r="D17" s="147" t="str">
        <f>""&amp;VLOOKUP(18,サンプル,5)</f>
        <v>3</v>
      </c>
      <c r="E17" s="173">
        <f>IF(VLOOKUP(18,サンプル,6)="","",VLOOKUP(18,サンプル,6))</f>
        <v>40246</v>
      </c>
      <c r="F17" s="147" t="str">
        <f>""&amp;VLOOKUP(18,サンプル,7)</f>
        <v>5</v>
      </c>
      <c r="G17" s="53" t="s">
        <v>9</v>
      </c>
      <c r="H17" s="187" t="str">
        <f>"  "&amp;VLOOKUP(31,サンプル,4)</f>
        <v xml:space="preserve">  かわぐち　あやか</v>
      </c>
      <c r="I17" s="188"/>
    </row>
    <row r="18" spans="1:9" ht="21" customHeight="1">
      <c r="A18" s="5">
        <v>2</v>
      </c>
      <c r="B18" s="109" t="str">
        <f>" "&amp;VLOOKUP(18,サンプル,3)</f>
        <v xml:space="preserve"> 上尾　佳純</v>
      </c>
      <c r="C18" s="110"/>
      <c r="D18" s="148"/>
      <c r="E18" s="174"/>
      <c r="F18" s="148"/>
      <c r="G18" s="54">
        <v>2</v>
      </c>
      <c r="H18" s="105" t="str">
        <f>"  "&amp;VLOOKUP(31,サンプル,3)</f>
        <v xml:space="preserve">  越谷　亜矢夏</v>
      </c>
      <c r="I18" s="163"/>
    </row>
    <row r="19" spans="1:9" ht="12" customHeight="1">
      <c r="A19" s="6" t="s">
        <v>9</v>
      </c>
      <c r="B19" s="111" t="str">
        <f>" "&amp;VLOOKUP(19,サンプル,4)</f>
        <v xml:space="preserve"> そうか　さやか</v>
      </c>
      <c r="C19" s="112"/>
      <c r="D19" s="147" t="str">
        <f>""&amp;VLOOKUP(19,サンプル,5)</f>
        <v>3</v>
      </c>
      <c r="E19" s="173">
        <f>IF(VLOOKUP(19,サンプル,6)="","",VLOOKUP(19,サンプル,6))</f>
        <v>39640</v>
      </c>
      <c r="F19" s="147" t="str">
        <f>""&amp;VLOOKUP(19,サンプル,7)</f>
        <v>6</v>
      </c>
      <c r="G19" s="53" t="s">
        <v>9</v>
      </c>
      <c r="H19" s="189" t="str">
        <f>"  "&amp;VLOOKUP(32,サンプル,4)</f>
        <v xml:space="preserve">  みよし　あきほ</v>
      </c>
      <c r="I19" s="190"/>
    </row>
    <row r="20" spans="1:9" ht="21" customHeight="1">
      <c r="A20" s="5">
        <v>3</v>
      </c>
      <c r="B20" s="105" t="str">
        <f>" "&amp;VLOOKUP(19,サンプル,3)</f>
        <v xml:space="preserve"> 草加　沙也加</v>
      </c>
      <c r="C20" s="106"/>
      <c r="D20" s="148"/>
      <c r="E20" s="174"/>
      <c r="F20" s="148"/>
      <c r="G20" s="54">
        <v>3</v>
      </c>
      <c r="H20" s="109" t="str">
        <f>"  "&amp;VLOOKUP(32,サンプル,3)</f>
        <v xml:space="preserve">  三芳　秋帆</v>
      </c>
      <c r="I20" s="162"/>
    </row>
    <row r="21" spans="1:9" ht="12" customHeight="1">
      <c r="A21" s="6" t="s">
        <v>9</v>
      </c>
      <c r="B21" s="107" t="str">
        <f>" "&amp;VLOOKUP(20,サンプル,4)</f>
        <v xml:space="preserve"> とだ　たまき</v>
      </c>
      <c r="C21" s="108"/>
      <c r="D21" s="147" t="str">
        <f>""&amp;VLOOKUP(20,サンプル,5)</f>
        <v>3</v>
      </c>
      <c r="E21" s="173">
        <f>IF(VLOOKUP(20,サンプル,6)="","",VLOOKUP(20,サンプル,6))</f>
        <v>39773</v>
      </c>
      <c r="F21" s="147" t="str">
        <f>""&amp;VLOOKUP(20,サンプル,7)</f>
        <v>8</v>
      </c>
      <c r="G21" s="53" t="s">
        <v>9</v>
      </c>
      <c r="H21" s="187" t="str">
        <f>"  "&amp;VLOOKUP(33,サンプル,4)</f>
        <v xml:space="preserve">  はすだ　とうや</v>
      </c>
      <c r="I21" s="188"/>
    </row>
    <row r="22" spans="1:9" ht="21" customHeight="1">
      <c r="A22" s="5">
        <v>4</v>
      </c>
      <c r="B22" s="109" t="str">
        <f>" "&amp;VLOOKUP(20,サンプル,3)</f>
        <v xml:space="preserve"> 戸田　環</v>
      </c>
      <c r="C22" s="110"/>
      <c r="D22" s="148"/>
      <c r="E22" s="174"/>
      <c r="F22" s="148"/>
      <c r="G22" s="54">
        <v>4</v>
      </c>
      <c r="H22" s="105" t="str">
        <f>"  "&amp;VLOOKUP(33,サンプル,3)</f>
        <v xml:space="preserve">  蓮田　冬弥</v>
      </c>
      <c r="I22" s="163"/>
    </row>
    <row r="23" spans="1:9" ht="12" customHeight="1">
      <c r="A23" s="6" t="s">
        <v>9</v>
      </c>
      <c r="B23" s="111" t="str">
        <f>" "&amp;VLOOKUP(21,サンプル,4)</f>
        <v xml:space="preserve"> かわごえ　ななこ</v>
      </c>
      <c r="C23" s="112"/>
      <c r="D23" s="147" t="str">
        <f>""&amp;VLOOKUP(21,サンプル,5)</f>
        <v>1</v>
      </c>
      <c r="E23" s="173">
        <f>IF(VLOOKUP(21,サンプル,6)="","",VLOOKUP(21,サンプル,6))</f>
        <v>40352</v>
      </c>
      <c r="F23" s="147" t="str">
        <f>""&amp;VLOOKUP(21,サンプル,7)</f>
        <v>9</v>
      </c>
      <c r="G23" s="53" t="s">
        <v>9</v>
      </c>
      <c r="H23" s="189" t="str">
        <f>"  "&amp;VLOOKUP(34,サンプル,4)</f>
        <v xml:space="preserve">  </v>
      </c>
      <c r="I23" s="190"/>
    </row>
    <row r="24" spans="1:9" ht="21" customHeight="1">
      <c r="A24" s="5">
        <v>5</v>
      </c>
      <c r="B24" s="105" t="str">
        <f>" "&amp;VLOOKUP(21,サンプル,3)</f>
        <v xml:space="preserve"> 川越　那々子</v>
      </c>
      <c r="C24" s="106"/>
      <c r="D24" s="148"/>
      <c r="E24" s="174"/>
      <c r="F24" s="148"/>
      <c r="G24" s="54">
        <v>5</v>
      </c>
      <c r="H24" s="109" t="str">
        <f>"  "&amp;VLOOKUP(34,サンプル,3)</f>
        <v xml:space="preserve">  </v>
      </c>
      <c r="I24" s="162"/>
    </row>
    <row r="25" spans="1:9" ht="12" customHeight="1">
      <c r="A25" s="6" t="s">
        <v>9</v>
      </c>
      <c r="B25" s="107" t="str">
        <f>" "&amp;VLOOKUP(22,サンプル,4)</f>
        <v xml:space="preserve"> さやま　はづき</v>
      </c>
      <c r="C25" s="108"/>
      <c r="D25" s="147" t="str">
        <f>""&amp;VLOOKUP(22,サンプル,5)</f>
        <v>2</v>
      </c>
      <c r="E25" s="173">
        <f>IF(VLOOKUP(22,サンプル,6)="","",VLOOKUP(22,サンプル,6))</f>
        <v>40195</v>
      </c>
      <c r="F25" s="147" t="str">
        <f>""&amp;VLOOKUP(22,サンプル,7)</f>
        <v>11</v>
      </c>
      <c r="G25" s="178" t="s">
        <v>44</v>
      </c>
      <c r="H25" s="179"/>
      <c r="I25" s="180"/>
    </row>
    <row r="26" spans="1:9" ht="21" customHeight="1">
      <c r="A26" s="5">
        <v>6</v>
      </c>
      <c r="B26" s="109" t="str">
        <f>" "&amp;VLOOKUP(22,サンプル,3)</f>
        <v xml:space="preserve"> 狭山　葉月</v>
      </c>
      <c r="C26" s="110"/>
      <c r="D26" s="148"/>
      <c r="E26" s="174"/>
      <c r="F26" s="148"/>
      <c r="G26" s="181"/>
      <c r="H26" s="182"/>
      <c r="I26" s="183"/>
    </row>
    <row r="27" spans="1:9" ht="12" customHeight="1">
      <c r="A27" s="6" t="s">
        <v>9</v>
      </c>
      <c r="B27" s="111" t="str">
        <f>" "&amp;VLOOKUP(23,サンプル,4)</f>
        <v xml:space="preserve"> ほんじょう　まり</v>
      </c>
      <c r="C27" s="112"/>
      <c r="D27" s="147" t="str">
        <f>""&amp;VLOOKUP(23,サンプル,5)</f>
        <v>1</v>
      </c>
      <c r="E27" s="173">
        <f>IF(VLOOKUP(23,サンプル,6)="","",VLOOKUP(23,サンプル,6))</f>
        <v>40581</v>
      </c>
      <c r="F27" s="147" t="str">
        <f>""&amp;VLOOKUP(23,サンプル,7)</f>
        <v>13</v>
      </c>
      <c r="G27" s="181"/>
      <c r="H27" s="182"/>
      <c r="I27" s="183"/>
    </row>
    <row r="28" spans="1:9" ht="21" customHeight="1">
      <c r="A28" s="5">
        <v>7</v>
      </c>
      <c r="B28" s="105" t="str">
        <f>" "&amp;VLOOKUP(23,サンプル,3)</f>
        <v xml:space="preserve"> 本庄　真里</v>
      </c>
      <c r="C28" s="106"/>
      <c r="D28" s="148"/>
      <c r="E28" s="174"/>
      <c r="F28" s="148"/>
      <c r="G28" s="181"/>
      <c r="H28" s="182"/>
      <c r="I28" s="183"/>
    </row>
    <row r="29" spans="1:9" ht="12" customHeight="1">
      <c r="A29" s="6" t="s">
        <v>9</v>
      </c>
      <c r="B29" s="107" t="str">
        <f>" "&amp;VLOOKUP(24,サンプル,4)</f>
        <v xml:space="preserve"> しらおか　やすこ</v>
      </c>
      <c r="C29" s="108"/>
      <c r="D29" s="147" t="str">
        <f>""&amp;VLOOKUP(24,サンプル,5)</f>
        <v>2</v>
      </c>
      <c r="E29" s="173">
        <f>IF(VLOOKUP(24,サンプル,6)="","",VLOOKUP(24,サンプル,6))</f>
        <v>40161</v>
      </c>
      <c r="F29" s="147" t="str">
        <f>""&amp;VLOOKUP(24,サンプル,7)</f>
        <v>14</v>
      </c>
      <c r="G29" s="181"/>
      <c r="H29" s="182"/>
      <c r="I29" s="183"/>
    </row>
    <row r="30" spans="1:9" ht="21" customHeight="1">
      <c r="A30" s="5">
        <v>8</v>
      </c>
      <c r="B30" s="109" t="str">
        <f>" "&amp;VLOOKUP(24,サンプル,3)</f>
        <v xml:space="preserve"> 白岡　康子</v>
      </c>
      <c r="C30" s="110"/>
      <c r="D30" s="148"/>
      <c r="E30" s="174"/>
      <c r="F30" s="148"/>
      <c r="G30" s="184"/>
      <c r="H30" s="185"/>
      <c r="I30" s="186"/>
    </row>
    <row r="31" spans="1:9" ht="49.25" customHeight="1">
      <c r="A31" s="175" t="s">
        <v>90</v>
      </c>
      <c r="B31" s="176"/>
      <c r="C31" s="176"/>
      <c r="D31" s="176"/>
      <c r="E31" s="176"/>
      <c r="F31" s="176"/>
      <c r="G31" s="176"/>
      <c r="H31" s="176"/>
      <c r="I31" s="177"/>
    </row>
    <row r="32" spans="1:9" ht="49.25" customHeight="1" thickBot="1">
      <c r="A32" s="168" t="str">
        <f>" "&amp;VLOOKUP(26,サンプル,3)&amp;"
 "&amp;VLOOKUP(27,サンプル,3)&amp;"
 "&amp;VLOOKUP(28,サンプル,3)&amp;"
 "&amp;VLOOKUP(29,サンプル,3)</f>
        <v xml:space="preserve"> 白岡　康子：報道機関への個人名の掲載に同意できない。
 </v>
      </c>
      <c r="B32" s="169"/>
      <c r="C32" s="169"/>
      <c r="D32" s="169"/>
      <c r="E32" s="169"/>
      <c r="F32" s="169"/>
      <c r="G32" s="169"/>
      <c r="H32" s="169"/>
      <c r="I32" s="170"/>
    </row>
    <row r="33" spans="1:9" ht="45.5" customHeight="1">
      <c r="A33" s="171" t="s">
        <v>81</v>
      </c>
      <c r="B33" s="171"/>
      <c r="C33" s="171"/>
      <c r="D33" s="171"/>
      <c r="E33" s="171"/>
      <c r="F33" s="171"/>
      <c r="G33" s="171"/>
      <c r="H33" s="171"/>
      <c r="I33" s="171"/>
    </row>
    <row r="34" spans="1:9" ht="6.5" customHeight="1"/>
    <row r="35" spans="1:9" ht="18" customHeight="1">
      <c r="A35" s="51" t="s">
        <v>50</v>
      </c>
      <c r="F35" s="172">
        <f>IF(VLOOKUP(25,サンプル,3)="","令和７年　　　月　　日",VLOOKUP(25,サンプル,3))</f>
        <v>45850</v>
      </c>
      <c r="G35" s="172"/>
      <c r="H35" s="172"/>
      <c r="I35" s="10"/>
    </row>
    <row r="36" spans="1:9" ht="6.75" customHeight="1"/>
    <row r="37" spans="1:9" ht="15">
      <c r="A37" s="52" t="s">
        <v>51</v>
      </c>
      <c r="B37" s="57" t="str">
        <f>印刷用!B37</f>
        <v>〒３６９－０２１７</v>
      </c>
      <c r="C37" s="57"/>
      <c r="D37" s="58"/>
      <c r="E37" s="57" t="str">
        <f>印刷用!E37</f>
        <v>埼玉県深谷市山河１２１４　　</v>
      </c>
      <c r="F37" s="58"/>
      <c r="G37" s="58"/>
      <c r="H37" s="59"/>
      <c r="I37" s="60"/>
    </row>
    <row r="38" spans="1:9" ht="15">
      <c r="A38" s="61"/>
      <c r="B38" s="51"/>
      <c r="C38" s="51"/>
      <c r="D38" s="51"/>
      <c r="E38" s="51" t="str">
        <f>印刷用!E38</f>
        <v>深谷市立岡部中学校　　田尻　雅美　宛</v>
      </c>
      <c r="F38" s="51"/>
      <c r="G38" s="51"/>
      <c r="I38" s="43"/>
    </row>
    <row r="39" spans="1:9" ht="15">
      <c r="A39" s="61"/>
      <c r="B39" s="51" t="str">
        <f>印刷用!B39</f>
        <v>TEL ０４８－５８５－２６２３　　FAX ０４８－５８５－６０５５</v>
      </c>
      <c r="C39" s="51"/>
      <c r="I39" s="43"/>
    </row>
    <row r="40" spans="1:9" ht="20">
      <c r="A40" s="62"/>
      <c r="B40" s="63" t="str">
        <f>印刷用!B40</f>
        <v>E-mail：saitama.tt.kentai.ck@gmail.com</v>
      </c>
      <c r="C40" s="63"/>
      <c r="D40" s="64"/>
      <c r="E40" s="64"/>
      <c r="F40" s="64"/>
      <c r="G40" s="64"/>
      <c r="H40" s="64"/>
      <c r="I40" s="44"/>
    </row>
  </sheetData>
  <sheetProtection sheet="1" selectLockedCells="1"/>
  <mergeCells count="77">
    <mergeCell ref="A31:I31"/>
    <mergeCell ref="A32:I32"/>
    <mergeCell ref="A33:I33"/>
    <mergeCell ref="F35:H35"/>
    <mergeCell ref="D25:D26"/>
    <mergeCell ref="D27:D28"/>
    <mergeCell ref="D29:D30"/>
    <mergeCell ref="E25:E26"/>
    <mergeCell ref="E27:E28"/>
    <mergeCell ref="E29:E30"/>
    <mergeCell ref="F25:F26"/>
    <mergeCell ref="F29:F30"/>
    <mergeCell ref="G25:I30"/>
    <mergeCell ref="F27:F28"/>
    <mergeCell ref="B26:C26"/>
    <mergeCell ref="B27:C27"/>
    <mergeCell ref="A6:A8"/>
    <mergeCell ref="A9:A10"/>
    <mergeCell ref="D15:D16"/>
    <mergeCell ref="D17:D18"/>
    <mergeCell ref="D19:D20"/>
    <mergeCell ref="B10:I10"/>
    <mergeCell ref="B11:E11"/>
    <mergeCell ref="G11:I11"/>
    <mergeCell ref="B6:E8"/>
    <mergeCell ref="E9:I9"/>
    <mergeCell ref="B9:D9"/>
    <mergeCell ref="G6:I6"/>
    <mergeCell ref="G7:I7"/>
    <mergeCell ref="F6:F8"/>
    <mergeCell ref="G8:I8"/>
    <mergeCell ref="B15:C15"/>
    <mergeCell ref="H24:I24"/>
    <mergeCell ref="B12:E12"/>
    <mergeCell ref="G12:I12"/>
    <mergeCell ref="B13:E13"/>
    <mergeCell ref="G13:I13"/>
    <mergeCell ref="F11:F12"/>
    <mergeCell ref="H16:I16"/>
    <mergeCell ref="H18:I18"/>
    <mergeCell ref="H20:I20"/>
    <mergeCell ref="D21:D22"/>
    <mergeCell ref="D23:D24"/>
    <mergeCell ref="E23:E24"/>
    <mergeCell ref="F23:F24"/>
    <mergeCell ref="H23:I23"/>
    <mergeCell ref="H22:I22"/>
    <mergeCell ref="B14:C14"/>
    <mergeCell ref="A1:I1"/>
    <mergeCell ref="E15:E16"/>
    <mergeCell ref="E17:E18"/>
    <mergeCell ref="E19:E20"/>
    <mergeCell ref="E21:E22"/>
    <mergeCell ref="F15:F16"/>
    <mergeCell ref="F17:F18"/>
    <mergeCell ref="F19:F20"/>
    <mergeCell ref="F21:F22"/>
    <mergeCell ref="G14:I14"/>
    <mergeCell ref="H15:I15"/>
    <mergeCell ref="H17:I17"/>
    <mergeCell ref="H19:I19"/>
    <mergeCell ref="H21:I21"/>
    <mergeCell ref="B4:I4"/>
    <mergeCell ref="B5:I5"/>
    <mergeCell ref="B16:C16"/>
    <mergeCell ref="B17:C17"/>
    <mergeCell ref="B18:C18"/>
    <mergeCell ref="B19:C19"/>
    <mergeCell ref="B20:C20"/>
    <mergeCell ref="B28:C28"/>
    <mergeCell ref="B29:C29"/>
    <mergeCell ref="B30:C30"/>
    <mergeCell ref="B21:C21"/>
    <mergeCell ref="B22:C22"/>
    <mergeCell ref="B23:C23"/>
    <mergeCell ref="B24:C24"/>
    <mergeCell ref="B25:C25"/>
  </mergeCells>
  <phoneticPr fontId="15"/>
  <printOptions horizontalCentered="1" verticalCentered="1"/>
  <pageMargins left="0.62992125984251968" right="0.55118110236220474" top="0.47244094488188981" bottom="0.51181102362204722"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説明</vt:lpstr>
      <vt:lpstr>入力用</vt:lpstr>
      <vt:lpstr>印刷用</vt:lpstr>
      <vt:lpstr>サンプル</vt:lpstr>
      <vt:lpstr>サンプル!Print_Area</vt:lpstr>
      <vt:lpstr>印刷用!Print_Area</vt:lpstr>
      <vt:lpstr>説明!Print_Area</vt:lpstr>
      <vt:lpstr>入力用!Print_Area</vt:lpstr>
      <vt:lpstr>サンプル</vt:lpstr>
      <vt:lpstr>入力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第５１回関東中学卓球個人申込書</dc:title>
  <dc:creator>卓球専門部</dc:creator>
  <cp:lastModifiedBy>雅美 田尻</cp:lastModifiedBy>
  <cp:lastPrinted>2023-06-21T05:04:26Z</cp:lastPrinted>
  <dcterms:created xsi:type="dcterms:W3CDTF">1997-01-08T22:48:00Z</dcterms:created>
  <dcterms:modified xsi:type="dcterms:W3CDTF">2025-07-23T00:08:16Z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